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_rels/sheet1.xml.rels" ContentType="application/vnd.openxmlformats-package.relationships+xml"/>
  <Override PartName="/xl/worksheets/_rels/sheet9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4.xml" ContentType="application/vnd.openxmlformats-officedocument.spreadsheetml.worksheet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uritiba" sheetId="4" state="visible" r:id="rId6"/>
    <sheet name="Desl. Base Curitiba" sheetId="5" state="visible" r:id="rId7"/>
    <sheet name="Comp. Veículo" sheetId="6" state="visible" r:id="rId8"/>
    <sheet name="Custo Eng. Eletricista" sheetId="7" state="visible" r:id="rId9"/>
    <sheet name="Comp. Eng. Eletricista" sheetId="8" state="visible" r:id="rId10"/>
    <sheet name="Custo Oficial de Manutenção" sheetId="9" state="visible" r:id="rId11"/>
    <sheet name="Comp, Oficial de Manutenção" sheetId="10" state="visible" r:id="rId12"/>
    <sheet name="Unidades" sheetId="11" state="visible" r:id="rId13"/>
    <sheet name="BDI" sheetId="12" state="visible" r:id="rId14"/>
    <sheet name="Divisão Custos ISSQN" sheetId="13" state="visible" r:id="rId15"/>
  </sheets>
  <definedNames>
    <definedName function="false" hidden="false" localSheetId="3" name="_xlnm.Print_Area" vbProcedure="false">'Base Curitiba'!$B$2:$AW$34</definedName>
    <definedName function="false" hidden="false" localSheetId="11" name="_xlnm.Print_Area" vbProcedure="false">BDI!$B$1:$J$44</definedName>
    <definedName function="false" hidden="false" localSheetId="4" name="_xlnm.Print_Area" vbProcedure="false">'Desl. Base Curitiba'!$B$2:$M$43</definedName>
    <definedName function="false" hidden="false" localSheetId="2" name="_xlnm.Print_Area" vbProcedure="false">'Equipe Técnica'!$B$2:$E$13</definedName>
    <definedName function="false" hidden="false" localSheetId="10" name="_xlnm.Print_Area" vbProcedure="false">Unidades!$B$2:$H$18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<sst xmlns="http://schemas.openxmlformats.org/spreadsheetml/2006/main" count="678" uniqueCount="325">
  <si>
    <t xml:space="preserve">ANEXO I - B14</t>
  </si>
  <si>
    <t xml:space="preserve">PLANILHA DETALHADA DE FORMAÇÃO DE PREÇO</t>
  </si>
  <si>
    <t xml:space="preserve">POLO III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</si>
  <si>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</si>
  <si>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</si>
  <si>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</si>
  <si>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</si>
  <si>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</si>
  <si>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</si>
  <si>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</si>
  <si>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III.</t>
  </si>
  <si>
    <t xml:space="preserve">Mês</t>
  </si>
  <si>
    <t xml:space="preserve">VALOR TOTAL DO ITEM 3: R$ 1.559.322,12 (um milhão, quinhentos e cinquenta e nove mil, trezentos vinte e dois reais e doze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</si>
  <si>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</si>
  <si>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</si>
  <si>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</si>
  <si>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</si>
  <si>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</si>
  <si>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</si>
  <si>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</si>
  <si>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</si>
  <si>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CURITIBA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</si>
  <si>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</si>
  <si>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</si>
  <si>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</si>
  <si>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</si>
  <si>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</si>
  <si>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</si>
  <si>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</si>
  <si>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</si>
  <si>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</si>
  <si>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</si>
  <si>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</si>
  <si>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</si>
  <si>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</si>
  <si>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</si>
  <si>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</si>
  <si>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</si>
  <si>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</si>
  <si>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</si>
  <si>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</si>
  <si>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</si>
  <si>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</si>
  <si>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</si>
  <si>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</si>
  <si>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</si>
  <si>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</si>
  <si>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</si>
  <si>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</si>
  <si>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</si>
  <si>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</si>
  <si>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</si>
  <si>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</si>
  <si>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</si>
  <si>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</si>
  <si>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</si>
  <si>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</si>
  <si>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</si>
  <si>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</si>
  <si>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</si>
  <si>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</si>
  <si>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</si>
  <si>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</si>
  <si>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</si>
  <si>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</si>
  <si>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</si>
  <si>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</si>
  <si>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</si>
  <si>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</si>
  <si>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</si>
  <si>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</si>
  <si>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</si>
  <si>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</si>
  <si>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</si>
  <si>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</si>
  <si>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</si>
  <si>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</si>
  <si>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</si>
  <si>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</si>
  <si>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</si>
  <si>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ARAUCÁRIA</t>
  </si>
  <si>
    <t xml:space="preserve">Custo por tipo de rotina</t>
  </si>
  <si>
    <t xml:space="preserve">APS CAMPO LARGO</t>
  </si>
  <si>
    <t xml:space="preserve">Custo Anual por tipo de rotina</t>
  </si>
  <si>
    <t xml:space="preserve">APS COLOMBO</t>
  </si>
  <si>
    <t xml:space="preserve">APS CURITIBA-CÂNDIDO LOPES</t>
  </si>
  <si>
    <t xml:space="preserve">APS CURITIBA-HAUER</t>
  </si>
  <si>
    <t xml:space="preserve">Custo Anual Preventiva</t>
  </si>
  <si>
    <t xml:space="preserve">APS CURITIBA-VISC. DE GUARAPUAVA</t>
  </si>
  <si>
    <t xml:space="preserve">APS FAZENDA RIO GRANDE</t>
  </si>
  <si>
    <t xml:space="preserve">Custo Anual Corretiva</t>
  </si>
  <si>
    <t xml:space="preserve">APS ITAPERUÇU</t>
  </si>
  <si>
    <t xml:space="preserve">Custo Médio Mensal Manutenção</t>
  </si>
  <si>
    <t xml:space="preserve">APS LAPA</t>
  </si>
  <si>
    <t xml:space="preserve">Custo Anual Manutenção</t>
  </si>
  <si>
    <t xml:space="preserve">APS MANDIRITUBA</t>
  </si>
  <si>
    <t xml:space="preserve">APS PARANAGUÁ</t>
  </si>
  <si>
    <t xml:space="preserve">APS PINHAIS</t>
  </si>
  <si>
    <t xml:space="preserve">APS SÃO JOSÉ DOS PINHAIS</t>
  </si>
  <si>
    <t xml:space="preserve">CEDOCPREV CURITIBA</t>
  </si>
  <si>
    <t xml:space="preserve">GEX CURITIBA / APS DIGITAL</t>
  </si>
  <si>
    <t xml:space="preserve">APS CASTRO</t>
  </si>
  <si>
    <t xml:space="preserve">APS IRATI</t>
  </si>
  <si>
    <t xml:space="preserve">APS PALMEIRA</t>
  </si>
  <si>
    <t xml:space="preserve">APS SÃO MATEUS DO SUL</t>
  </si>
  <si>
    <t xml:space="preserve">APS UNIÃO DA VITÓRIA</t>
  </si>
  <si>
    <t xml:space="preserve">CEDOCPREV PONTA GROSSA</t>
  </si>
  <si>
    <t xml:space="preserve">GEX/APS PONTA GROSSA</t>
  </si>
  <si>
    <t xml:space="preserve">APS PORTO UNIÃO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</si>
  <si>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</si>
  <si>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</si>
  <si>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</si>
  <si>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</si>
  <si>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</si>
  <si>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</si>
  <si>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</si>
  <si>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</si>
  <si>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</si>
  <si>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</si>
  <si>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</si>
  <si>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</si>
  <si>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</si>
  <si>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</si>
  <si>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</si>
  <si>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</si>
  <si>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</si>
  <si>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</si>
  <si>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</si>
  <si>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</si>
  <si>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</si>
  <si>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</si>
  <si>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</si>
  <si>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</si>
  <si>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</si>
  <si>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</si>
  <si>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</si>
  <si>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</si>
  <si>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</si>
  <si>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</si>
  <si>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</si>
  <si>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</si>
  <si>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</si>
  <si>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</si>
  <si>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</si>
  <si>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</si>
  <si>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</si>
  <si>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</si>
  <si>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</si>
  <si>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</si>
  <si>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</si>
  <si>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</si>
  <si>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</si>
  <si>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</si>
  <si>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</si>
  <si>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09/2023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</si>
  <si>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</si>
  <si>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</si>
  <si>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</si>
  <si>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</si>
  <si>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</si>
  <si>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</si>
  <si>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</si>
  <si>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</si>
  <si>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</si>
  <si>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</si>
  <si>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</si>
  <si>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</si>
  <si>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</si>
  <si>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</si>
  <si>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</si>
  <si>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</si>
  <si>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</si>
  <si>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</si>
  <si>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</si>
  <si>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</si>
  <si>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</si>
  <si>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</si>
  <si>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</si>
  <si>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</si>
  <si>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</si>
  <si>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</si>
  <si>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</si>
  <si>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</si>
  <si>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</si>
  <si>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</si>
  <si>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</si>
  <si>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</si>
  <si>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</si>
  <si>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</si>
  <si>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</si>
  <si>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</si>
  <si>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</si>
  <si>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</si>
  <si>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</si>
  <si>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</si>
  <si>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</si>
  <si>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10/2023</t>
  </si>
  <si>
    <t xml:space="preserve">SEDI - SERVIÇOS DIVERSOS</t>
  </si>
  <si>
    <t xml:space="preserve">Valor Unitário Não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</si>
  <si>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</si>
  <si>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</si>
  <si>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</si>
  <si>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</si>
  <si>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</si>
  <si>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</si>
  <si>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</si>
  <si>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</si>
  <si>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</si>
  <si>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</si>
  <si>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</si>
  <si>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</si>
  <si>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</si>
  <si>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</si>
  <si>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</si>
  <si>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</si>
  <si>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</si>
  <si>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</si>
  <si>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</si>
  <si>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</si>
  <si>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</si>
  <si>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</si>
  <si>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</si>
  <si>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</si>
  <si>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</si>
  <si>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</si>
  <si>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</si>
  <si>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</si>
  <si>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</si>
  <si>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</si>
  <si>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</si>
  <si>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</si>
  <si>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</si>
  <si>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</si>
  <si>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</si>
  <si>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</si>
  <si>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</si>
  <si>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</si>
  <si>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</si>
  <si>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</si>
  <si>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</si>
  <si>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</si>
  <si>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</si>
  <si>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</si>
  <si>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</si>
  <si>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</si>
  <si>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</si>
  <si>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</si>
  <si>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</si>
  <si>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</si>
  <si>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</si>
  <si>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</si>
  <si>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</si>
  <si>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</si>
  <si>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</si>
  <si>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</si>
  <si>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</si>
  <si>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</si>
  <si>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</si>
  <si>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</si>
  <si>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</si>
  <si>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Manoel Ribas, 185</t>
  </si>
  <si>
    <t xml:space="preserve">NÃO</t>
  </si>
  <si>
    <t xml:space="preserve">Rua Joaquim Ribas de Andrade, 1350,  Centro</t>
  </si>
  <si>
    <t xml:space="preserve">Rua Quinze de Novembro, 236, fundos, Centro</t>
  </si>
  <si>
    <t xml:space="preserve">Rua Cândido Lopes, 270, Centro</t>
  </si>
  <si>
    <t xml:space="preserve">SIM</t>
  </si>
  <si>
    <t xml:space="preserve">Rua Waldemar Kost, 706, Vila Hauer</t>
  </si>
  <si>
    <t xml:space="preserve">Travessa da Lapa, 200, Centro</t>
  </si>
  <si>
    <t xml:space="preserve">Rua Egito, 426, Nações</t>
  </si>
  <si>
    <t xml:space="preserve">Rua Crispin Furquim de Siqueira, 1780, Centro</t>
  </si>
  <si>
    <t xml:space="preserve">Av. Juscelino Kubitschek de O., 479. D. Pedro II</t>
  </si>
  <si>
    <t xml:space="preserve">Rua Francisco Manoel de O. M., 246, Centro</t>
  </si>
  <si>
    <t xml:space="preserve">Praça João Gualberto, 267, Centro</t>
  </si>
  <si>
    <t xml:space="preserve">Rua África, 50, Centro</t>
  </si>
  <si>
    <t xml:space="preserve">Rua Joinville, 2643, São Pedro</t>
  </si>
  <si>
    <t xml:space="preserve">Av. Prefeito Lothário Meissner, 350</t>
  </si>
  <si>
    <t xml:space="preserve">Rua João Negrão, 11/21, Centro</t>
  </si>
  <si>
    <t xml:space="preserve">PONTA GROSSA</t>
  </si>
  <si>
    <t xml:space="preserve">Rua Marechal Deodoro, 492</t>
  </si>
  <si>
    <t xml:space="preserve">Rua Coronel Emílio Gomes, 63</t>
  </si>
  <si>
    <t xml:space="preserve">Rua Fritz Kliewer, 315</t>
  </si>
  <si>
    <t xml:space="preserve">RUA Tenente Max Wolff Filho, 474</t>
  </si>
  <si>
    <t xml:space="preserve">Rua Ipiranga, 251</t>
  </si>
  <si>
    <t xml:space="preserve">RUA Dr. Colares, 415</t>
  </si>
  <si>
    <t xml:space="preserve">Rua Marques do Paraná, 799</t>
  </si>
  <si>
    <t xml:space="preserve">CHAPECÓ</t>
  </si>
  <si>
    <t xml:space="preserve">Rua Quintino Bocaiúva, 423,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</si>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</sst>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#,##0;[RED]\(#,##0\)"/>
    <numFmt numFmtId="177" formatCode="0"/>
    <numFmt numFmtId="178" formatCode="@"/>
    <numFmt numFmtId="179" formatCode="mm/yy"/>
    <numFmt numFmtId="180" formatCode="&quot;R$ &quot;#,##0.00"/>
    <numFmt numFmtId="181" formatCode="0.000"/>
    <numFmt numFmtId="182" formatCode="d/m/yyyy"/>
    <numFmt numFmtId="183" formatCode="&quot;R$ &quot;#,##0.00;[RED]&quot;-R$ &quot;#,##0.00"/>
  </numFmts>
  <fonts count="2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D9D9D9"/>
      </patternFill>
    </fill>
    <fill>
      <patternFill patternType="solid">
        <fgColor rgb="FFF2F2F2"/>
        <bgColor rgb="FFEEEEEE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9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9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18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9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8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9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4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ustomXml" Target="../customXml/item4.xml"/><Relationship Id="rId2" Type="http://schemas.openxmlformats.org/officeDocument/2006/relationships/styles" Target="styles.xml"/><Relationship Id="rId16" Type="http://schemas.openxmlformats.org/officeDocument/2006/relationships/sharedStrings" Target="sharedString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47160</xdr:colOff>
      <xdr:row>1</xdr:row>
      <xdr:rowOff>1176840</xdr:rowOff>
    </xdr:to>
    <xdr:sp>
      <xdr:nvSpPr>
        <xdr:cNvPr id="0" name="CustomShape 1"/>
        <xdr:cNvSpPr/>
      </xdr:nvSpPr>
      <xdr:spPr>
        <a:xfrm>
          <a:off x="2439000" y="288360"/>
          <a:ext cx="2635560" cy="10789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381240</xdr:colOff>
      <xdr:row>1</xdr:row>
      <xdr:rowOff>1148040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5240" y="398160"/>
          <a:ext cx="2019600" cy="940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327240</xdr:rowOff>
    </xdr:from>
    <xdr:to>
      <xdr:col>2</xdr:col>
      <xdr:colOff>2415240</xdr:colOff>
      <xdr:row>22</xdr:row>
      <xdr:rowOff>247320</xdr:rowOff>
    </xdr:to>
    <xdr:pic>
      <xdr:nvPicPr>
        <xdr:cNvPr id="2" name="Figura 4" descr=""/>
        <xdr:cNvPicPr/>
      </xdr:nvPicPr>
      <xdr:blipFill>
        <a:blip r:embed="rId1"/>
        <a:srcRect l="14217" t="63680" r="19680" b="19108"/>
        <a:stretch/>
      </xdr:blipFill>
      <xdr:spPr>
        <a:xfrm>
          <a:off x="402480" y="4375440"/>
          <a:ext cx="6661080" cy="103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28</xdr:row>
      <xdr:rowOff>57240</xdr:rowOff>
    </xdr:from>
    <xdr:to>
      <xdr:col>2</xdr:col>
      <xdr:colOff>2363040</xdr:colOff>
      <xdr:row>32</xdr:row>
      <xdr:rowOff>24480</xdr:rowOff>
    </xdr:to>
    <xdr:pic>
      <xdr:nvPicPr>
        <xdr:cNvPr id="3" name="Figura 7" descr=""/>
        <xdr:cNvPicPr/>
      </xdr:nvPicPr>
      <xdr:blipFill>
        <a:blip r:embed="rId2"/>
        <a:srcRect l="17761" t="51102" r="20985" b="38304"/>
        <a:stretch/>
      </xdr:blipFill>
      <xdr:spPr>
        <a:xfrm>
          <a:off x="553680" y="6896160"/>
          <a:ext cx="6457680" cy="653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4" colorId="64" zoomScale="110" zoomScaleNormal="110" zoomScalePageLayoutView="100" workbookViewId="0">
      <selection pane="topLeft" activeCell="G11" activeCellId="0" sqref="G1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2" width="5.5"/>
    <col collapsed="false" customWidth="true" hidden="false" outlineLevel="0" max="3" min="3" style="2" width="42.1"/>
    <col collapsed="false" customWidth="true" hidden="false" outlineLevel="0" max="4" min="4" style="2" width="6.1"/>
    <col collapsed="false" customWidth="true" hidden="false" outlineLevel="0" max="5" min="5" style="2" width="5.6"/>
    <col collapsed="false" customWidth="true" hidden="false" outlineLevel="0" max="6" min="6" style="2" width="15.2"/>
    <col collapsed="false" customWidth="true" hidden="false" outlineLevel="0" max="7" min="7" style="2" width="20"/>
    <col collapsed="false" customWidth="true" hidden="false" outlineLevel="0" max="254" min="8" style="2" width="10.6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3</v>
      </c>
      <c r="C11" s="11" t="s">
        <v>10</v>
      </c>
      <c r="D11" s="12" t="s">
        <v>11</v>
      </c>
      <c r="E11" s="12" t="n">
        <v>12</v>
      </c>
      <c r="F11" s="13" t="n">
        <f aca="false">ROUND(Resumo!D6+Resumo!F6,2)</f>
        <v>129943.51</v>
      </c>
      <c r="G11" s="14" t="n">
        <f aca="false">F11*12</f>
        <v>1559322.12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9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7" activeCellId="0" sqref="G17"/>
    </sheetView>
  </sheetViews>
  <sheetFormatPr defaultColWidth="10.50390625" defaultRowHeight="13.5" zeroHeight="false" outlineLevelRow="0" outlineLevelCol="0"/>
  <sheetData>
    <row r="1" customFormat="false" ht="16.5" hidden="false" customHeight="true" outlineLevel="0" collapsed="false">
      <c r="B1" s="138" t="s">
        <v>239</v>
      </c>
      <c r="C1" s="138"/>
      <c r="D1" s="138"/>
      <c r="E1" s="138"/>
      <c r="F1" s="138"/>
      <c r="G1" s="138"/>
      <c r="H1" s="138"/>
      <c r="I1" s="138"/>
    </row>
    <row r="2" customFormat="false" ht="16.5" hidden="false" customHeight="true" outlineLevel="0" collapsed="false">
      <c r="B2" s="139" t="s">
        <v>150</v>
      </c>
      <c r="C2" s="139"/>
      <c r="D2" s="140" t="n">
        <v>88264</v>
      </c>
      <c r="E2" s="140"/>
      <c r="F2" s="140"/>
      <c r="G2" s="140"/>
      <c r="H2" s="140"/>
      <c r="I2" s="140"/>
    </row>
    <row r="3" customFormat="false" ht="16.5" hidden="false" customHeight="true" outlineLevel="0" collapsed="false">
      <c r="B3" s="139" t="s">
        <v>131</v>
      </c>
      <c r="C3" s="139"/>
      <c r="D3" s="140" t="s">
        <v>240</v>
      </c>
      <c r="E3" s="140"/>
      <c r="F3" s="140"/>
      <c r="G3" s="140"/>
      <c r="H3" s="140"/>
      <c r="I3" s="140"/>
    </row>
    <row r="4" customFormat="false" ht="16.5" hidden="false" customHeight="true" outlineLevel="0" collapsed="false">
      <c r="B4" s="139" t="s">
        <v>153</v>
      </c>
      <c r="C4" s="139"/>
      <c r="D4" s="141" t="s">
        <v>196</v>
      </c>
      <c r="E4" s="141"/>
      <c r="F4" s="141"/>
      <c r="G4" s="141"/>
      <c r="H4" s="141"/>
      <c r="I4" s="141"/>
    </row>
    <row r="5" customFormat="false" ht="16.5" hidden="false" customHeight="true" outlineLevel="0" collapsed="false">
      <c r="B5" s="139" t="s">
        <v>155</v>
      </c>
      <c r="C5" s="139"/>
      <c r="D5" s="140" t="s">
        <v>178</v>
      </c>
      <c r="E5" s="140"/>
      <c r="F5" s="140"/>
      <c r="G5" s="140"/>
      <c r="H5" s="140"/>
      <c r="I5" s="140"/>
    </row>
    <row r="6" customFormat="false" ht="16.5" hidden="false" customHeight="true" outlineLevel="0" collapsed="false">
      <c r="B6" s="139" t="s">
        <v>157</v>
      </c>
      <c r="C6" s="139"/>
      <c r="D6" s="140" t="s">
        <v>197</v>
      </c>
      <c r="E6" s="140"/>
      <c r="F6" s="140"/>
      <c r="G6" s="140"/>
      <c r="H6" s="140"/>
      <c r="I6" s="140"/>
    </row>
    <row r="7" customFormat="false" ht="16.5" hidden="false" customHeight="true" outlineLevel="0" collapsed="false">
      <c r="B7" s="139" t="s">
        <v>132</v>
      </c>
      <c r="C7" s="139"/>
      <c r="D7" s="140" t="s">
        <v>165</v>
      </c>
      <c r="E7" s="140"/>
      <c r="F7" s="140"/>
      <c r="G7" s="140"/>
      <c r="H7" s="140"/>
      <c r="I7" s="140"/>
    </row>
    <row r="8" customFormat="false" ht="23.25" hidden="false" customHeight="true" outlineLevel="0" collapsed="false">
      <c r="B8" s="142" t="s">
        <v>159</v>
      </c>
      <c r="C8" s="142"/>
      <c r="D8" s="143" t="n">
        <f aca="false">SUM(I11:I19)</f>
        <v>34.79</v>
      </c>
      <c r="E8" s="143"/>
      <c r="F8" s="143"/>
      <c r="G8" s="143"/>
      <c r="H8" s="143"/>
      <c r="I8" s="143"/>
    </row>
    <row r="9" customFormat="false" ht="15.75" hidden="false" customHeight="true" outlineLevel="0" collapsed="false">
      <c r="B9" s="144"/>
      <c r="C9" s="144"/>
      <c r="D9" s="145"/>
      <c r="E9" s="145"/>
      <c r="F9" s="145"/>
      <c r="G9" s="145"/>
      <c r="H9" s="145"/>
      <c r="I9" s="145"/>
    </row>
    <row r="10" customFormat="false" ht="69" hidden="false" customHeight="false" outlineLevel="0" collapsed="false">
      <c r="B10" s="146"/>
      <c r="C10" s="146" t="s">
        <v>160</v>
      </c>
      <c r="D10" s="146" t="s">
        <v>131</v>
      </c>
      <c r="E10" s="146" t="s">
        <v>157</v>
      </c>
      <c r="F10" s="146" t="s">
        <v>132</v>
      </c>
      <c r="G10" s="146" t="s">
        <v>198</v>
      </c>
      <c r="H10" s="146" t="s">
        <v>161</v>
      </c>
      <c r="I10" s="146" t="s">
        <v>159</v>
      </c>
    </row>
    <row r="11" customFormat="false" ht="27.75" hidden="false" customHeight="true" outlineLevel="0" collapsed="false">
      <c r="B11" s="147" t="s">
        <v>162</v>
      </c>
      <c r="C11" s="147" t="n">
        <v>95332</v>
      </c>
      <c r="D11" s="147" t="s">
        <v>241</v>
      </c>
      <c r="E11" s="147" t="s">
        <v>197</v>
      </c>
      <c r="F11" s="147" t="s">
        <v>165</v>
      </c>
      <c r="G11" s="149" t="n">
        <v>1</v>
      </c>
      <c r="H11" s="149" t="n">
        <v>1</v>
      </c>
      <c r="I11" s="170" t="n">
        <f aca="false">G11*H11</f>
        <v>1</v>
      </c>
      <c r="J11" s="171"/>
      <c r="K11" s="171"/>
    </row>
    <row r="12" customFormat="false" ht="32.25" hidden="false" customHeight="true" outlineLevel="0" collapsed="false">
      <c r="B12" s="147" t="s">
        <v>199</v>
      </c>
      <c r="C12" s="147" t="s">
        <v>242</v>
      </c>
      <c r="D12" s="147" t="s">
        <v>243</v>
      </c>
      <c r="E12" s="147" t="s">
        <v>204</v>
      </c>
      <c r="F12" s="147" t="s">
        <v>165</v>
      </c>
      <c r="G12" s="149" t="n">
        <v>25.61</v>
      </c>
      <c r="H12" s="149" t="n">
        <v>1</v>
      </c>
      <c r="I12" s="170" t="n">
        <f aca="false">G12*H12</f>
        <v>25.61</v>
      </c>
      <c r="J12" s="171"/>
      <c r="K12" s="171"/>
    </row>
    <row r="13" customFormat="false" ht="42" hidden="false" customHeight="true" outlineLevel="0" collapsed="false">
      <c r="B13" s="147" t="s">
        <v>199</v>
      </c>
      <c r="C13" s="147" t="n">
        <v>37370</v>
      </c>
      <c r="D13" s="147" t="s">
        <v>244</v>
      </c>
      <c r="E13" s="147" t="s">
        <v>207</v>
      </c>
      <c r="F13" s="147" t="s">
        <v>165</v>
      </c>
      <c r="G13" s="149" t="n">
        <v>3.79</v>
      </c>
      <c r="H13" s="149" t="n">
        <v>1</v>
      </c>
      <c r="I13" s="170" t="n">
        <f aca="false">G13*H13</f>
        <v>3.79</v>
      </c>
      <c r="J13" s="171"/>
      <c r="K13" s="171"/>
    </row>
    <row r="14" customFormat="false" ht="27.75" hidden="false" customHeight="true" outlineLevel="0" collapsed="false">
      <c r="B14" s="147" t="s">
        <v>199</v>
      </c>
      <c r="C14" s="147" t="n">
        <v>37371</v>
      </c>
      <c r="D14" s="147" t="s">
        <v>245</v>
      </c>
      <c r="E14" s="147" t="s">
        <v>246</v>
      </c>
      <c r="F14" s="147" t="s">
        <v>165</v>
      </c>
      <c r="G14" s="149" t="n">
        <v>0.86</v>
      </c>
      <c r="H14" s="149" t="n">
        <v>1</v>
      </c>
      <c r="I14" s="170" t="n">
        <f aca="false">G14*H14</f>
        <v>0.86</v>
      </c>
      <c r="J14" s="171"/>
      <c r="K14" s="171"/>
    </row>
    <row r="15" customFormat="false" ht="42" hidden="false" customHeight="true" outlineLevel="0" collapsed="false">
      <c r="B15" s="147" t="s">
        <v>199</v>
      </c>
      <c r="C15" s="147" t="n">
        <v>37372</v>
      </c>
      <c r="D15" s="147" t="s">
        <v>206</v>
      </c>
      <c r="E15" s="147" t="s">
        <v>207</v>
      </c>
      <c r="F15" s="147" t="s">
        <v>165</v>
      </c>
      <c r="G15" s="149" t="n">
        <v>1.14</v>
      </c>
      <c r="H15" s="149" t="n">
        <v>1</v>
      </c>
      <c r="I15" s="170" t="n">
        <f aca="false">G15*H15</f>
        <v>1.14</v>
      </c>
      <c r="J15" s="171"/>
      <c r="K15" s="171"/>
    </row>
    <row r="16" customFormat="false" ht="27.75" hidden="false" customHeight="true" outlineLevel="0" collapsed="false">
      <c r="B16" s="147" t="s">
        <v>199</v>
      </c>
      <c r="C16" s="147" t="n">
        <v>37373</v>
      </c>
      <c r="D16" s="147" t="s">
        <v>210</v>
      </c>
      <c r="E16" s="147" t="s">
        <v>211</v>
      </c>
      <c r="F16" s="147" t="s">
        <v>165</v>
      </c>
      <c r="G16" s="149" t="n">
        <v>0.07</v>
      </c>
      <c r="H16" s="149" t="n">
        <v>1</v>
      </c>
      <c r="I16" s="170" t="n">
        <f aca="false">G16*H16</f>
        <v>0.07</v>
      </c>
      <c r="J16" s="171"/>
      <c r="K16" s="171"/>
    </row>
    <row r="17" customFormat="false" ht="158.25" hidden="false" customHeight="false" outlineLevel="0" collapsed="false">
      <c r="B17" s="147" t="s">
        <v>199</v>
      </c>
      <c r="C17" s="147" t="n">
        <v>43460</v>
      </c>
      <c r="D17" s="147" t="s">
        <v>247</v>
      </c>
      <c r="E17" s="147" t="s">
        <v>215</v>
      </c>
      <c r="F17" s="147" t="s">
        <v>165</v>
      </c>
      <c r="G17" s="149" t="n">
        <v>0.86</v>
      </c>
      <c r="H17" s="149" t="n">
        <v>1</v>
      </c>
      <c r="I17" s="170" t="n">
        <f aca="false">G17*H17</f>
        <v>0.86</v>
      </c>
      <c r="J17" s="171"/>
      <c r="K17" s="171"/>
    </row>
    <row r="18" customFormat="false" ht="158.25" hidden="false" customHeight="false" outlineLevel="0" collapsed="false">
      <c r="B18" s="187" t="s">
        <v>199</v>
      </c>
      <c r="C18" s="187" t="n">
        <v>43461</v>
      </c>
      <c r="D18" s="187" t="s">
        <v>248</v>
      </c>
      <c r="E18" s="187" t="s">
        <v>215</v>
      </c>
      <c r="F18" s="187" t="s">
        <v>165</v>
      </c>
      <c r="G18" s="188" t="n">
        <v>0.32</v>
      </c>
      <c r="H18" s="188" t="n">
        <v>1</v>
      </c>
      <c r="I18" s="189" t="n">
        <f aca="false">G18*H18</f>
        <v>0.32</v>
      </c>
      <c r="J18" s="171"/>
      <c r="K18" s="171"/>
    </row>
    <row r="19" customFormat="false" ht="144.75" hidden="false" customHeight="false" outlineLevel="0" collapsed="false">
      <c r="B19" s="147" t="s">
        <v>199</v>
      </c>
      <c r="C19" s="147" t="n">
        <v>43484</v>
      </c>
      <c r="D19" s="147" t="s">
        <v>249</v>
      </c>
      <c r="E19" s="147" t="s">
        <v>215</v>
      </c>
      <c r="F19" s="147" t="s">
        <v>165</v>
      </c>
      <c r="G19" s="149" t="n">
        <v>1.14</v>
      </c>
      <c r="H19" s="149" t="n">
        <v>1</v>
      </c>
      <c r="I19" s="170" t="n">
        <f aca="false">G19*H19</f>
        <v>1.14</v>
      </c>
      <c r="J19" s="171"/>
      <c r="K19" s="171"/>
    </row>
  </sheetData>
  <mergeCells count="15">
    <mergeCell ref="B1:I1"/>
    <mergeCell ref="B2:C2"/>
    <mergeCell ref="D2:I2"/>
    <mergeCell ref="B3:C3"/>
    <mergeCell ref="D3:I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7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10.4023437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6" width="15.5"/>
    <col collapsed="false" customWidth="true" hidden="false" outlineLevel="0" max="3" min="3" style="17" width="16.19"/>
    <col collapsed="false" customWidth="true" hidden="false" outlineLevel="0" max="4" min="4" style="16" width="32"/>
    <col collapsed="false" customWidth="true" hidden="false" outlineLevel="0" max="5" min="5" style="16" width="36.9"/>
    <col collapsed="false" customWidth="true" hidden="false" outlineLevel="0" max="6" min="6" style="17" width="15.2"/>
    <col collapsed="false" customWidth="true" hidden="false" outlineLevel="0" max="7" min="7" style="16" width="9"/>
    <col collapsed="false" customWidth="true" hidden="false" outlineLevel="0" max="8" min="8" style="16" width="9.1"/>
    <col collapsed="false" customWidth="true" hidden="false" outlineLevel="0" max="9" min="9" style="16" width="12"/>
    <col collapsed="false" customWidth="true" hidden="false" outlineLevel="0" max="11" min="10" style="16" width="11.19"/>
    <col collapsed="false" customWidth="false" hidden="false" outlineLevel="0" max="12" min="12" style="16" width="10.4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</cols>
  <sheetData>
    <row r="1" customFormat="false" ht="15" hidden="false" customHeight="true" outlineLevel="0" collapsed="false"/>
    <row r="2" s="190" customFormat="true" ht="29.25" hidden="false" customHeight="true" outlineLevel="0" collapsed="false">
      <c r="B2" s="191" t="str">
        <f aca="false">"RELAÇÃO DE UNIDADES DO "&amp;'Valor da Contratação'!B7&amp;""</f>
        <v>RELAÇÃO DE UNIDADES DO POLO III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250</v>
      </c>
      <c r="C4" s="32" t="s">
        <v>13</v>
      </c>
      <c r="D4" s="32" t="s">
        <v>40</v>
      </c>
      <c r="E4" s="32" t="s">
        <v>251</v>
      </c>
      <c r="F4" s="32" t="s">
        <v>252</v>
      </c>
      <c r="G4" s="32" t="s">
        <v>253</v>
      </c>
      <c r="H4" s="32" t="s">
        <v>70</v>
      </c>
      <c r="I4" s="32" t="s">
        <v>254</v>
      </c>
      <c r="J4" s="32" t="s">
        <v>255</v>
      </c>
      <c r="K4" s="32" t="s">
        <v>256</v>
      </c>
      <c r="L4" s="32" t="s">
        <v>257</v>
      </c>
      <c r="M4" s="32" t="s">
        <v>258</v>
      </c>
      <c r="N4" s="32" t="s">
        <v>259</v>
      </c>
    </row>
    <row r="5" customFormat="false" ht="18" hidden="false" customHeight="true" outlineLevel="0" collapsed="false">
      <c r="B5" s="192" t="s">
        <v>21</v>
      </c>
      <c r="C5" s="192" t="s">
        <v>21</v>
      </c>
      <c r="D5" s="62" t="s">
        <v>80</v>
      </c>
      <c r="E5" s="193" t="s">
        <v>260</v>
      </c>
      <c r="F5" s="64" t="n">
        <f aca="false">90/60</f>
        <v>1.5</v>
      </c>
      <c r="G5" s="194" t="n">
        <v>0.05</v>
      </c>
      <c r="H5" s="194" t="n">
        <f aca="false">HLOOKUP(G5,BDI!$D$19:$J$30,12,)</f>
        <v>0.2624</v>
      </c>
      <c r="I5" s="195" t="n">
        <v>476</v>
      </c>
      <c r="J5" s="195" t="n">
        <v>476</v>
      </c>
      <c r="K5" s="195" t="n">
        <v>0</v>
      </c>
      <c r="L5" s="195" t="n">
        <v>0</v>
      </c>
      <c r="M5" s="195" t="s">
        <v>261</v>
      </c>
      <c r="N5" s="195" t="s">
        <v>261</v>
      </c>
    </row>
    <row r="6" customFormat="false" ht="18" hidden="false" customHeight="true" outlineLevel="0" collapsed="false">
      <c r="B6" s="192" t="s">
        <v>21</v>
      </c>
      <c r="C6" s="192" t="s">
        <v>21</v>
      </c>
      <c r="D6" s="62" t="s">
        <v>82</v>
      </c>
      <c r="E6" s="193" t="s">
        <v>262</v>
      </c>
      <c r="F6" s="64" t="n">
        <f aca="false">80/60</f>
        <v>1.33333333333333</v>
      </c>
      <c r="G6" s="194" t="n">
        <v>0.03</v>
      </c>
      <c r="H6" s="194" t="n">
        <f aca="false">HLOOKUP(G6,BDI!$D$19:$J$30,12,)</f>
        <v>0.2354</v>
      </c>
      <c r="I6" s="195" t="n">
        <v>478.22</v>
      </c>
      <c r="J6" s="195" t="n">
        <v>478.22</v>
      </c>
      <c r="K6" s="195" t="n">
        <v>0</v>
      </c>
      <c r="L6" s="195" t="n">
        <v>0</v>
      </c>
      <c r="M6" s="195" t="s">
        <v>261</v>
      </c>
      <c r="N6" s="195" t="s">
        <v>261</v>
      </c>
    </row>
    <row r="7" customFormat="false" ht="18" hidden="false" customHeight="true" outlineLevel="0" collapsed="false">
      <c r="B7" s="192" t="s">
        <v>21</v>
      </c>
      <c r="C7" s="192" t="s">
        <v>21</v>
      </c>
      <c r="D7" s="62" t="s">
        <v>84</v>
      </c>
      <c r="E7" s="196" t="s">
        <v>263</v>
      </c>
      <c r="F7" s="64" t="n">
        <f aca="false">76/60</f>
        <v>1.26666666666667</v>
      </c>
      <c r="G7" s="194" t="n">
        <v>0.02</v>
      </c>
      <c r="H7" s="194" t="n">
        <f aca="false">HLOOKUP(G7,BDI!$D$19:$J$30,12,)</f>
        <v>0.2223</v>
      </c>
      <c r="I7" s="195" t="n">
        <v>757.45</v>
      </c>
      <c r="J7" s="195" t="n">
        <v>696.76</v>
      </c>
      <c r="K7" s="195" t="n">
        <v>60.69</v>
      </c>
      <c r="L7" s="195" t="n">
        <v>0</v>
      </c>
      <c r="M7" s="195" t="s">
        <v>261</v>
      </c>
      <c r="N7" s="195" t="s">
        <v>261</v>
      </c>
    </row>
    <row r="8" customFormat="false" ht="18" hidden="false" customHeight="true" outlineLevel="0" collapsed="false">
      <c r="B8" s="192" t="s">
        <v>21</v>
      </c>
      <c r="C8" s="192" t="s">
        <v>21</v>
      </c>
      <c r="D8" s="62" t="s">
        <v>85</v>
      </c>
      <c r="E8" s="196" t="s">
        <v>264</v>
      </c>
      <c r="F8" s="64" t="n">
        <f aca="false">14/60</f>
        <v>0.233333333333333</v>
      </c>
      <c r="G8" s="194" t="n">
        <v>0.05</v>
      </c>
      <c r="H8" s="194" t="n">
        <f aca="false">HLOOKUP(G8,BDI!$D$19:$J$30,12,)</f>
        <v>0.2624</v>
      </c>
      <c r="I8" s="195" t="n">
        <v>7788.67</v>
      </c>
      <c r="J8" s="195" t="n">
        <v>6325.68</v>
      </c>
      <c r="K8" s="195" t="n">
        <v>61.05</v>
      </c>
      <c r="L8" s="195" t="n">
        <v>1401.94</v>
      </c>
      <c r="M8" s="195" t="s">
        <v>265</v>
      </c>
      <c r="N8" s="195" t="s">
        <v>265</v>
      </c>
    </row>
    <row r="9" customFormat="false" ht="18" hidden="false" customHeight="true" outlineLevel="0" collapsed="false">
      <c r="B9" s="192" t="s">
        <v>21</v>
      </c>
      <c r="C9" s="192" t="s">
        <v>21</v>
      </c>
      <c r="D9" s="62" t="s">
        <v>86</v>
      </c>
      <c r="E9" s="193" t="s">
        <v>266</v>
      </c>
      <c r="F9" s="64" t="n">
        <f aca="false">36/60</f>
        <v>0.6</v>
      </c>
      <c r="G9" s="194" t="n">
        <v>0.05</v>
      </c>
      <c r="H9" s="194" t="n">
        <f aca="false">HLOOKUP(G9,BDI!$D$19:$J$30,12,)</f>
        <v>0.2624</v>
      </c>
      <c r="I9" s="195" t="n">
        <v>868.93</v>
      </c>
      <c r="J9" s="195" t="n">
        <v>716.43</v>
      </c>
      <c r="K9" s="195" t="n">
        <v>152.5</v>
      </c>
      <c r="L9" s="195" t="n">
        <v>0</v>
      </c>
      <c r="M9" s="195" t="s">
        <v>261</v>
      </c>
      <c r="N9" s="195" t="s">
        <v>261</v>
      </c>
    </row>
    <row r="10" customFormat="false" ht="18" hidden="false" customHeight="true" outlineLevel="0" collapsed="false">
      <c r="B10" s="192" t="s">
        <v>21</v>
      </c>
      <c r="C10" s="192" t="s">
        <v>21</v>
      </c>
      <c r="D10" s="62" t="s">
        <v>88</v>
      </c>
      <c r="E10" s="193" t="s">
        <v>267</v>
      </c>
      <c r="F10" s="64" t="n">
        <f aca="false">6/60</f>
        <v>0.1</v>
      </c>
      <c r="G10" s="194" t="n">
        <v>0.05</v>
      </c>
      <c r="H10" s="194" t="n">
        <f aca="false">HLOOKUP(G10,BDI!$D$19:$J$30,12,)</f>
        <v>0.2624</v>
      </c>
      <c r="I10" s="195" t="n">
        <v>3545.15</v>
      </c>
      <c r="J10" s="195" t="n">
        <v>2148.33</v>
      </c>
      <c r="K10" s="195" t="n">
        <v>0</v>
      </c>
      <c r="L10" s="195" t="n">
        <v>1396.82</v>
      </c>
      <c r="M10" s="195" t="s">
        <v>265</v>
      </c>
      <c r="N10" s="195" t="s">
        <v>265</v>
      </c>
    </row>
    <row r="11" customFormat="false" ht="18" hidden="false" customHeight="true" outlineLevel="0" collapsed="false">
      <c r="B11" s="192" t="s">
        <v>21</v>
      </c>
      <c r="C11" s="192" t="s">
        <v>21</v>
      </c>
      <c r="D11" s="62" t="s">
        <v>89</v>
      </c>
      <c r="E11" s="193" t="s">
        <v>268</v>
      </c>
      <c r="F11" s="64" t="n">
        <f aca="false">92/60</f>
        <v>1.53333333333333</v>
      </c>
      <c r="G11" s="194" t="n">
        <v>0.02</v>
      </c>
      <c r="H11" s="194" t="n">
        <f aca="false">HLOOKUP(G11,BDI!$D$19:$J$30,12,)</f>
        <v>0.2223</v>
      </c>
      <c r="I11" s="195" t="n">
        <v>567.87</v>
      </c>
      <c r="J11" s="195" t="n">
        <v>567.87</v>
      </c>
      <c r="K11" s="195" t="n">
        <v>0</v>
      </c>
      <c r="L11" s="195" t="n">
        <v>0</v>
      </c>
      <c r="M11" s="195" t="s">
        <v>261</v>
      </c>
      <c r="N11" s="195" t="s">
        <v>261</v>
      </c>
    </row>
    <row r="12" customFormat="false" ht="18" hidden="false" customHeight="true" outlineLevel="0" collapsed="false">
      <c r="B12" s="192" t="s">
        <v>21</v>
      </c>
      <c r="C12" s="192" t="s">
        <v>21</v>
      </c>
      <c r="D12" s="62" t="s">
        <v>91</v>
      </c>
      <c r="E12" s="193" t="s">
        <v>269</v>
      </c>
      <c r="F12" s="64" t="n">
        <f aca="false">118/60</f>
        <v>1.96666666666667</v>
      </c>
      <c r="G12" s="194" t="n">
        <v>0.025</v>
      </c>
      <c r="H12" s="194" t="n">
        <f aca="false">HLOOKUP(G12,BDI!$D$19:$J$30,12,)</f>
        <v>0.2288</v>
      </c>
      <c r="I12" s="195" t="n">
        <v>334.4</v>
      </c>
      <c r="J12" s="195" t="n">
        <v>296</v>
      </c>
      <c r="K12" s="195" t="n">
        <v>38.4</v>
      </c>
      <c r="L12" s="195" t="n">
        <v>0</v>
      </c>
      <c r="M12" s="195" t="s">
        <v>261</v>
      </c>
      <c r="N12" s="195" t="s">
        <v>261</v>
      </c>
    </row>
    <row r="13" customFormat="false" ht="18" hidden="false" customHeight="true" outlineLevel="0" collapsed="false">
      <c r="B13" s="192" t="s">
        <v>21</v>
      </c>
      <c r="C13" s="192" t="s">
        <v>21</v>
      </c>
      <c r="D13" s="62" t="s">
        <v>93</v>
      </c>
      <c r="E13" s="193" t="s">
        <v>270</v>
      </c>
      <c r="F13" s="64" t="n">
        <f aca="false">97*2/60</f>
        <v>3.23333333333333</v>
      </c>
      <c r="G13" s="194" t="n">
        <v>0.02</v>
      </c>
      <c r="H13" s="194" t="n">
        <f aca="false">HLOOKUP(G13,BDI!$D$19:$J$30,12,)</f>
        <v>0.2223</v>
      </c>
      <c r="I13" s="195" t="n">
        <v>334.4</v>
      </c>
      <c r="J13" s="195" t="n">
        <v>296</v>
      </c>
      <c r="K13" s="195" t="n">
        <v>38.4</v>
      </c>
      <c r="L13" s="195" t="n">
        <v>0</v>
      </c>
      <c r="M13" s="195" t="s">
        <v>261</v>
      </c>
      <c r="N13" s="195" t="s">
        <v>261</v>
      </c>
    </row>
    <row r="14" customFormat="false" ht="18" hidden="false" customHeight="true" outlineLevel="0" collapsed="false">
      <c r="B14" s="192" t="s">
        <v>21</v>
      </c>
      <c r="C14" s="192" t="s">
        <v>21</v>
      </c>
      <c r="D14" s="62" t="s">
        <v>95</v>
      </c>
      <c r="E14" s="193" t="s">
        <v>271</v>
      </c>
      <c r="F14" s="64" t="n">
        <f aca="false">67*2/60</f>
        <v>2.23333333333333</v>
      </c>
      <c r="G14" s="194" t="n">
        <v>0.02</v>
      </c>
      <c r="H14" s="194" t="n">
        <f aca="false">HLOOKUP(G14,BDI!$D$19:$J$30,12,)</f>
        <v>0.2223</v>
      </c>
      <c r="I14" s="195" t="n">
        <v>334.4</v>
      </c>
      <c r="J14" s="195" t="n">
        <v>296</v>
      </c>
      <c r="K14" s="195" t="n">
        <v>38.4</v>
      </c>
      <c r="L14" s="195" t="n">
        <v>0</v>
      </c>
      <c r="M14" s="195" t="s">
        <v>261</v>
      </c>
      <c r="N14" s="195" t="s">
        <v>261</v>
      </c>
    </row>
    <row r="15" customFormat="false" ht="18" hidden="false" customHeight="true" outlineLevel="0" collapsed="false">
      <c r="B15" s="192" t="s">
        <v>21</v>
      </c>
      <c r="C15" s="192" t="s">
        <v>21</v>
      </c>
      <c r="D15" s="62" t="s">
        <v>96</v>
      </c>
      <c r="E15" s="193" t="s">
        <v>272</v>
      </c>
      <c r="F15" s="64" t="n">
        <f aca="false">242/60</f>
        <v>4.03333333333333</v>
      </c>
      <c r="G15" s="194" t="n">
        <v>0.04</v>
      </c>
      <c r="H15" s="194" t="n">
        <f aca="false">HLOOKUP(G15,BDI!$D$19:$J$30,12,)</f>
        <v>0.2487</v>
      </c>
      <c r="I15" s="195" t="n">
        <v>2476.62</v>
      </c>
      <c r="J15" s="195" t="n">
        <v>825.54</v>
      </c>
      <c r="K15" s="195" t="n">
        <v>825.54</v>
      </c>
      <c r="L15" s="195" t="n">
        <v>825.54</v>
      </c>
      <c r="M15" s="195" t="s">
        <v>265</v>
      </c>
      <c r="N15" s="195" t="s">
        <v>265</v>
      </c>
    </row>
    <row r="16" customFormat="false" ht="18" hidden="false" customHeight="true" outlineLevel="0" collapsed="false">
      <c r="B16" s="192" t="s">
        <v>21</v>
      </c>
      <c r="C16" s="192" t="s">
        <v>21</v>
      </c>
      <c r="D16" s="62" t="s">
        <v>97</v>
      </c>
      <c r="E16" s="193" t="s">
        <v>273</v>
      </c>
      <c r="F16" s="64" t="n">
        <f aca="false">44/60</f>
        <v>0.733333333333333</v>
      </c>
      <c r="G16" s="194" t="n">
        <v>0.02</v>
      </c>
      <c r="H16" s="194" t="n">
        <f aca="false">HLOOKUP(G16,BDI!$D$19:$J$30,12,)</f>
        <v>0.2223</v>
      </c>
      <c r="I16" s="195" t="n">
        <v>334.4</v>
      </c>
      <c r="J16" s="195" t="n">
        <v>296</v>
      </c>
      <c r="K16" s="195" t="n">
        <v>38.4</v>
      </c>
      <c r="L16" s="195" t="n">
        <v>0</v>
      </c>
      <c r="M16" s="195" t="s">
        <v>261</v>
      </c>
      <c r="N16" s="195" t="s">
        <v>261</v>
      </c>
    </row>
    <row r="17" customFormat="false" ht="18" hidden="false" customHeight="true" outlineLevel="0" collapsed="false">
      <c r="B17" s="192" t="s">
        <v>21</v>
      </c>
      <c r="C17" s="192" t="s">
        <v>21</v>
      </c>
      <c r="D17" s="62" t="s">
        <v>98</v>
      </c>
      <c r="E17" s="193" t="s">
        <v>274</v>
      </c>
      <c r="F17" s="64" t="n">
        <f aca="false">60/60</f>
        <v>1</v>
      </c>
      <c r="G17" s="194" t="n">
        <v>0.05</v>
      </c>
      <c r="H17" s="194" t="n">
        <f aca="false">HLOOKUP(G17,BDI!$D$19:$J$30,12,)</f>
        <v>0.2624</v>
      </c>
      <c r="I17" s="195" t="n">
        <v>898.03</v>
      </c>
      <c r="J17" s="195" t="n">
        <v>609.03</v>
      </c>
      <c r="K17" s="195" t="n">
        <v>289</v>
      </c>
      <c r="L17" s="195" t="n">
        <v>0</v>
      </c>
      <c r="M17" s="195" t="s">
        <v>261</v>
      </c>
      <c r="N17" s="195" t="s">
        <v>261</v>
      </c>
    </row>
    <row r="18" customFormat="false" ht="18" hidden="false" customHeight="true" outlineLevel="0" collapsed="false">
      <c r="B18" s="192" t="s">
        <v>21</v>
      </c>
      <c r="C18" s="192" t="s">
        <v>21</v>
      </c>
      <c r="D18" s="62" t="s">
        <v>99</v>
      </c>
      <c r="E18" s="193" t="s">
        <v>275</v>
      </c>
      <c r="F18" s="64" t="n">
        <f aca="false">26/60</f>
        <v>0.433333333333333</v>
      </c>
      <c r="G18" s="194" t="n">
        <v>0.05</v>
      </c>
      <c r="H18" s="194" t="n">
        <f aca="false">HLOOKUP(G18,BDI!$D$19:$J$30,12,)</f>
        <v>0.2624</v>
      </c>
      <c r="I18" s="195" t="n">
        <v>3170.62</v>
      </c>
      <c r="J18" s="195" t="n">
        <v>150</v>
      </c>
      <c r="K18" s="195" t="n">
        <v>3020.62</v>
      </c>
      <c r="L18" s="195" t="n">
        <v>0</v>
      </c>
      <c r="M18" s="195" t="s">
        <v>261</v>
      </c>
      <c r="N18" s="195" t="s">
        <v>261</v>
      </c>
    </row>
    <row r="19" customFormat="false" ht="18" hidden="false" customHeight="true" outlineLevel="0" collapsed="false">
      <c r="B19" s="192" t="s">
        <v>21</v>
      </c>
      <c r="C19" s="192" t="s">
        <v>21</v>
      </c>
      <c r="D19" s="62" t="s">
        <v>100</v>
      </c>
      <c r="E19" s="193" t="s">
        <v>276</v>
      </c>
      <c r="F19" s="64" t="n">
        <v>0</v>
      </c>
      <c r="G19" s="194" t="n">
        <v>0.05</v>
      </c>
      <c r="H19" s="194" t="n">
        <f aca="false">HLOOKUP(G19,BDI!$D$19:$J$30,12,)</f>
        <v>0.2624</v>
      </c>
      <c r="I19" s="195" t="n">
        <v>11765.3</v>
      </c>
      <c r="J19" s="195" t="n">
        <v>6322.2</v>
      </c>
      <c r="K19" s="195" t="n">
        <v>1580.55</v>
      </c>
      <c r="L19" s="195" t="n">
        <v>3862.55</v>
      </c>
      <c r="M19" s="195" t="s">
        <v>265</v>
      </c>
      <c r="N19" s="195" t="s">
        <v>261</v>
      </c>
    </row>
    <row r="20" customFormat="false" ht="18" hidden="false" customHeight="true" outlineLevel="0" collapsed="false">
      <c r="B20" s="192" t="s">
        <v>277</v>
      </c>
      <c r="C20" s="192" t="s">
        <v>21</v>
      </c>
      <c r="D20" s="62" t="s">
        <v>101</v>
      </c>
      <c r="E20" s="193" t="s">
        <v>278</v>
      </c>
      <c r="F20" s="64" t="n">
        <f aca="false">274/60</f>
        <v>4.56666666666667</v>
      </c>
      <c r="G20" s="194" t="n">
        <v>0.03</v>
      </c>
      <c r="H20" s="194" t="n">
        <f aca="false">HLOOKUP(G20,BDI!$D$19:$J$30,12,)</f>
        <v>0.2354</v>
      </c>
      <c r="I20" s="195" t="n">
        <v>572.67</v>
      </c>
      <c r="J20" s="195" t="n">
        <v>572.67</v>
      </c>
      <c r="K20" s="195" t="n">
        <v>0</v>
      </c>
      <c r="L20" s="195" t="n">
        <v>0</v>
      </c>
      <c r="M20" s="195" t="s">
        <v>261</v>
      </c>
      <c r="N20" s="195" t="s">
        <v>265</v>
      </c>
    </row>
    <row r="21" customFormat="false" ht="18" hidden="false" customHeight="true" outlineLevel="0" collapsed="false">
      <c r="B21" s="192" t="s">
        <v>277</v>
      </c>
      <c r="C21" s="192" t="s">
        <v>21</v>
      </c>
      <c r="D21" s="72" t="s">
        <v>102</v>
      </c>
      <c r="E21" s="193" t="s">
        <v>279</v>
      </c>
      <c r="F21" s="64" t="n">
        <f aca="false">256/60</f>
        <v>4.26666666666667</v>
      </c>
      <c r="G21" s="194" t="n">
        <v>0.03</v>
      </c>
      <c r="H21" s="194" t="n">
        <f aca="false">HLOOKUP(G21,BDI!$D$19:$J$30,12,)</f>
        <v>0.2354</v>
      </c>
      <c r="I21" s="195" t="n">
        <v>1982.74</v>
      </c>
      <c r="J21" s="195" t="n">
        <v>1982.74</v>
      </c>
      <c r="K21" s="195" t="n">
        <v>0</v>
      </c>
      <c r="L21" s="195" t="n">
        <v>0</v>
      </c>
      <c r="M21" s="195" t="s">
        <v>261</v>
      </c>
      <c r="N21" s="195" t="s">
        <v>261</v>
      </c>
    </row>
    <row r="22" customFormat="false" ht="18" hidden="false" customHeight="true" outlineLevel="0" collapsed="false">
      <c r="B22" s="192" t="s">
        <v>277</v>
      </c>
      <c r="C22" s="192" t="s">
        <v>21</v>
      </c>
      <c r="D22" s="72" t="s">
        <v>103</v>
      </c>
      <c r="E22" s="193" t="s">
        <v>280</v>
      </c>
      <c r="F22" s="64" t="n">
        <f aca="false">180/60</f>
        <v>3</v>
      </c>
      <c r="G22" s="194" t="n">
        <v>0.03</v>
      </c>
      <c r="H22" s="194" t="n">
        <f aca="false">HLOOKUP(G22,BDI!$D$19:$J$30,12,)</f>
        <v>0.2354</v>
      </c>
      <c r="I22" s="195" t="n">
        <v>334.4</v>
      </c>
      <c r="J22" s="195" t="n">
        <v>296</v>
      </c>
      <c r="K22" s="195" t="n">
        <v>38.4</v>
      </c>
      <c r="L22" s="195" t="n">
        <v>0</v>
      </c>
      <c r="M22" s="195" t="s">
        <v>261</v>
      </c>
      <c r="N22" s="195" t="s">
        <v>261</v>
      </c>
    </row>
    <row r="23" customFormat="false" ht="18" hidden="false" customHeight="true" outlineLevel="0" collapsed="false">
      <c r="B23" s="192" t="s">
        <v>277</v>
      </c>
      <c r="C23" s="192" t="s">
        <v>21</v>
      </c>
      <c r="D23" s="72" t="s">
        <v>104</v>
      </c>
      <c r="E23" s="193" t="s">
        <v>281</v>
      </c>
      <c r="F23" s="64" t="n">
        <f aca="false">282/60</f>
        <v>4.7</v>
      </c>
      <c r="G23" s="194" t="n">
        <v>0.04</v>
      </c>
      <c r="H23" s="194" t="n">
        <f aca="false">HLOOKUP(G23,BDI!$D$19:$J$30,12,)</f>
        <v>0.2487</v>
      </c>
      <c r="I23" s="195" t="n">
        <v>334.4</v>
      </c>
      <c r="J23" s="195" t="n">
        <v>296</v>
      </c>
      <c r="K23" s="195" t="n">
        <v>38.4</v>
      </c>
      <c r="L23" s="195" t="n">
        <v>0</v>
      </c>
      <c r="M23" s="195" t="s">
        <v>261</v>
      </c>
      <c r="N23" s="195" t="s">
        <v>261</v>
      </c>
    </row>
    <row r="24" customFormat="false" ht="18" hidden="false" customHeight="true" outlineLevel="0" collapsed="false">
      <c r="B24" s="192" t="s">
        <v>277</v>
      </c>
      <c r="C24" s="192" t="s">
        <v>21</v>
      </c>
      <c r="D24" s="72" t="s">
        <v>105</v>
      </c>
      <c r="E24" s="193" t="s">
        <v>282</v>
      </c>
      <c r="F24" s="64" t="n">
        <f aca="false">424/60</f>
        <v>7.06666666666667</v>
      </c>
      <c r="G24" s="194" t="n">
        <v>0.025</v>
      </c>
      <c r="H24" s="194" t="n">
        <f aca="false">HLOOKUP(G24,BDI!$D$19:$J$30,12,)</f>
        <v>0.2288</v>
      </c>
      <c r="I24" s="195" t="n">
        <v>3200</v>
      </c>
      <c r="J24" s="195" t="n">
        <v>1525</v>
      </c>
      <c r="K24" s="195" t="n">
        <v>850</v>
      </c>
      <c r="L24" s="195" t="n">
        <v>825</v>
      </c>
      <c r="M24" s="195" t="s">
        <v>265</v>
      </c>
      <c r="N24" s="195" t="s">
        <v>265</v>
      </c>
    </row>
    <row r="25" customFormat="false" ht="18" hidden="false" customHeight="true" outlineLevel="0" collapsed="false">
      <c r="B25" s="192" t="s">
        <v>277</v>
      </c>
      <c r="C25" s="192" t="s">
        <v>21</v>
      </c>
      <c r="D25" s="73" t="s">
        <v>106</v>
      </c>
      <c r="E25" s="193" t="s">
        <v>283</v>
      </c>
      <c r="F25" s="64" t="n">
        <f aca="false">204/60</f>
        <v>3.4</v>
      </c>
      <c r="G25" s="194" t="n">
        <v>0.03</v>
      </c>
      <c r="H25" s="194" t="n">
        <f aca="false">HLOOKUP(G25,BDI!$D$19:$J$30,12,)</f>
        <v>0.2354</v>
      </c>
      <c r="I25" s="195" t="n">
        <v>1369</v>
      </c>
      <c r="J25" s="195" t="n">
        <v>1369</v>
      </c>
      <c r="K25" s="195" t="n">
        <v>0</v>
      </c>
      <c r="L25" s="195" t="n">
        <v>0</v>
      </c>
      <c r="M25" s="195" t="s">
        <v>265</v>
      </c>
      <c r="N25" s="195" t="s">
        <v>261</v>
      </c>
    </row>
    <row r="26" customFormat="false" ht="18" hidden="false" customHeight="true" outlineLevel="0" collapsed="false">
      <c r="B26" s="192" t="s">
        <v>277</v>
      </c>
      <c r="C26" s="192" t="s">
        <v>21</v>
      </c>
      <c r="D26" s="72" t="s">
        <v>107</v>
      </c>
      <c r="E26" s="196" t="s">
        <v>284</v>
      </c>
      <c r="F26" s="64" t="n">
        <f aca="false">95*2/60</f>
        <v>3.16666666666667</v>
      </c>
      <c r="G26" s="194" t="n">
        <v>0.03</v>
      </c>
      <c r="H26" s="194" t="n">
        <f aca="false">HLOOKUP(G26,BDI!$D$19:$J$30,12,)</f>
        <v>0.2354</v>
      </c>
      <c r="I26" s="195" t="n">
        <v>3976.98</v>
      </c>
      <c r="J26" s="195" t="n">
        <v>3626.98</v>
      </c>
      <c r="K26" s="195" t="n">
        <v>350</v>
      </c>
      <c r="L26" s="195" t="n">
        <v>0</v>
      </c>
      <c r="M26" s="195" t="s">
        <v>265</v>
      </c>
      <c r="N26" s="195" t="s">
        <v>265</v>
      </c>
    </row>
    <row r="27" customFormat="false" ht="18" hidden="false" customHeight="true" outlineLevel="0" collapsed="false">
      <c r="B27" s="192" t="s">
        <v>285</v>
      </c>
      <c r="C27" s="192" t="s">
        <v>21</v>
      </c>
      <c r="D27" s="72" t="s">
        <v>108</v>
      </c>
      <c r="E27" s="193" t="s">
        <v>286</v>
      </c>
      <c r="F27" s="64" t="n">
        <f aca="false">448/60</f>
        <v>7.46666666666667</v>
      </c>
      <c r="G27" s="194" t="n">
        <v>0.025</v>
      </c>
      <c r="H27" s="194" t="n">
        <f aca="false">HLOOKUP(G27,BDI!$D$19:$J$30,12,)</f>
        <v>0.2288</v>
      </c>
      <c r="I27" s="195" t="n">
        <v>786</v>
      </c>
      <c r="J27" s="195" t="n">
        <v>456</v>
      </c>
      <c r="K27" s="195" t="n">
        <v>42</v>
      </c>
      <c r="L27" s="195" t="n">
        <v>288</v>
      </c>
      <c r="M27" s="195" t="s">
        <v>265</v>
      </c>
      <c r="N27" s="195" t="s">
        <v>265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O11" activeCellId="0" sqref="O11"/>
    </sheetView>
  </sheetViews>
  <sheetFormatPr defaultColWidth="10.4023437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97" width="15.6"/>
    <col collapsed="false" customWidth="true" hidden="false" outlineLevel="0" max="3" min="3" style="197" width="35.9"/>
    <col collapsed="false" customWidth="true" hidden="false" outlineLevel="0" max="4" min="4" style="50" width="11"/>
    <col collapsed="false" customWidth="true" hidden="false" outlineLevel="0" max="1024" min="1024" style="1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198" t="s">
        <v>287</v>
      </c>
      <c r="C2" s="198"/>
      <c r="D2" s="198"/>
      <c r="E2" s="198"/>
      <c r="F2" s="198"/>
      <c r="G2" s="198"/>
      <c r="H2" s="198"/>
      <c r="I2" s="198"/>
      <c r="J2" s="198"/>
    </row>
    <row r="3" customFormat="false" ht="19.5" hidden="false" customHeight="true" outlineLevel="0" collapsed="false">
      <c r="B3" s="199" t="str">
        <f aca="false">'Valor da Contratação'!B8</f>
        <v>NÃO DESONERADA</v>
      </c>
      <c r="C3" s="199"/>
      <c r="D3" s="199"/>
      <c r="E3" s="199"/>
      <c r="F3" s="199"/>
      <c r="G3" s="199"/>
      <c r="H3" s="199"/>
      <c r="I3" s="199"/>
      <c r="J3" s="199"/>
    </row>
    <row r="4" customFormat="false" ht="15" hidden="false" customHeight="true" outlineLevel="0" collapsed="false">
      <c r="B4" s="200"/>
      <c r="C4" s="200"/>
      <c r="D4" s="20"/>
    </row>
    <row r="5" customFormat="false" ht="15" hidden="false" customHeight="true" outlineLevel="0" collapsed="false">
      <c r="B5" s="201" t="s">
        <v>288</v>
      </c>
      <c r="C5" s="201"/>
      <c r="D5" s="201"/>
      <c r="E5" s="201"/>
      <c r="F5" s="201"/>
      <c r="G5" s="201"/>
      <c r="H5" s="201"/>
      <c r="I5" s="201"/>
      <c r="J5" s="201"/>
    </row>
    <row r="6" customFormat="false" ht="15" hidden="false" customHeight="true" outlineLevel="0" collapsed="false">
      <c r="B6" s="202"/>
      <c r="C6" s="2"/>
      <c r="D6" s="122"/>
      <c r="E6" s="122"/>
      <c r="J6" s="203"/>
    </row>
    <row r="7" customFormat="false" ht="15" hidden="false" customHeight="true" outlineLevel="0" collapsed="false">
      <c r="B7" s="204" t="s">
        <v>289</v>
      </c>
      <c r="C7" s="204"/>
      <c r="D7" s="204"/>
      <c r="E7" s="204"/>
      <c r="F7" s="204"/>
      <c r="G7" s="204"/>
      <c r="H7" s="204"/>
      <c r="I7" s="204"/>
      <c r="J7" s="204"/>
    </row>
    <row r="8" customFormat="false" ht="15" hidden="false" customHeight="true" outlineLevel="0" collapsed="false">
      <c r="B8" s="205"/>
      <c r="C8" s="206"/>
      <c r="D8" s="122"/>
      <c r="E8" s="122"/>
      <c r="J8" s="203"/>
    </row>
    <row r="9" customFormat="false" ht="15" hidden="false" customHeight="true" outlineLevel="0" collapsed="false">
      <c r="B9" s="207" t="s">
        <v>290</v>
      </c>
      <c r="C9" s="207"/>
      <c r="D9" s="207"/>
      <c r="E9" s="207"/>
      <c r="F9" s="207"/>
      <c r="G9" s="207"/>
      <c r="H9" s="207"/>
      <c r="I9" s="207"/>
      <c r="J9" s="207"/>
    </row>
    <row r="10" customFormat="false" ht="15" hidden="false" customHeight="true" outlineLevel="0" collapsed="false">
      <c r="B10" s="208" t="s">
        <v>291</v>
      </c>
      <c r="C10" s="208"/>
      <c r="D10" s="208"/>
      <c r="E10" s="208"/>
      <c r="F10" s="208"/>
      <c r="G10" s="208"/>
      <c r="H10" s="208"/>
      <c r="I10" s="208"/>
      <c r="J10" s="208"/>
    </row>
    <row r="11" customFormat="false" ht="15" hidden="false" customHeight="true" outlineLevel="0" collapsed="false">
      <c r="B11" s="208" t="s">
        <v>292</v>
      </c>
      <c r="C11" s="208"/>
      <c r="D11" s="208"/>
      <c r="E11" s="208"/>
      <c r="F11" s="208"/>
      <c r="G11" s="208"/>
      <c r="H11" s="208"/>
      <c r="I11" s="208"/>
      <c r="J11" s="208"/>
    </row>
    <row r="12" customFormat="false" ht="15" hidden="false" customHeight="true" outlineLevel="0" collapsed="false">
      <c r="B12" s="208" t="s">
        <v>293</v>
      </c>
      <c r="C12" s="208"/>
      <c r="D12" s="208"/>
      <c r="E12" s="208"/>
      <c r="F12" s="208"/>
      <c r="G12" s="208"/>
      <c r="H12" s="208"/>
      <c r="I12" s="208"/>
      <c r="J12" s="208"/>
    </row>
    <row r="13" customFormat="false" ht="15" hidden="false" customHeight="true" outlineLevel="0" collapsed="false">
      <c r="B13" s="208" t="s">
        <v>294</v>
      </c>
      <c r="C13" s="208"/>
      <c r="D13" s="208"/>
      <c r="E13" s="208"/>
      <c r="F13" s="208"/>
      <c r="G13" s="208"/>
      <c r="H13" s="208"/>
      <c r="I13" s="208"/>
      <c r="J13" s="208"/>
    </row>
    <row r="14" customFormat="false" ht="15" hidden="false" customHeight="true" outlineLevel="0" collapsed="false">
      <c r="B14" s="208" t="s">
        <v>295</v>
      </c>
      <c r="C14" s="208"/>
      <c r="D14" s="208"/>
      <c r="E14" s="208"/>
      <c r="F14" s="208"/>
      <c r="G14" s="208"/>
      <c r="H14" s="208"/>
      <c r="I14" s="208"/>
      <c r="J14" s="208"/>
    </row>
    <row r="15" customFormat="false" ht="15" hidden="false" customHeight="true" outlineLevel="0" collapsed="false">
      <c r="B15" s="208" t="s">
        <v>296</v>
      </c>
      <c r="C15" s="208"/>
      <c r="D15" s="208"/>
      <c r="E15" s="208"/>
      <c r="F15" s="208"/>
      <c r="G15" s="208"/>
      <c r="H15" s="208"/>
      <c r="I15" s="208"/>
      <c r="J15" s="208"/>
    </row>
    <row r="16" customFormat="false" ht="15" hidden="false" customHeight="true" outlineLevel="0" collapsed="false">
      <c r="B16" s="209" t="s">
        <v>297</v>
      </c>
      <c r="C16" s="209"/>
      <c r="D16" s="209"/>
      <c r="E16" s="209"/>
      <c r="F16" s="209"/>
      <c r="G16" s="209"/>
      <c r="H16" s="209"/>
      <c r="I16" s="209"/>
      <c r="J16" s="209"/>
    </row>
    <row r="17" customFormat="false" ht="24.75" hidden="false" customHeight="true" outlineLevel="0" collapsed="false">
      <c r="D17" s="20"/>
    </row>
    <row r="18" customFormat="false" ht="16.5" hidden="false" customHeight="true" outlineLevel="0" collapsed="false">
      <c r="B18" s="32" t="s">
        <v>298</v>
      </c>
      <c r="C18" s="32"/>
      <c r="D18" s="210" t="s">
        <v>253</v>
      </c>
      <c r="E18" s="210" t="s">
        <v>253</v>
      </c>
      <c r="F18" s="210" t="s">
        <v>253</v>
      </c>
      <c r="G18" s="211" t="s">
        <v>253</v>
      </c>
      <c r="H18" s="212" t="s">
        <v>253</v>
      </c>
      <c r="I18" s="212" t="s">
        <v>253</v>
      </c>
      <c r="J18" s="212" t="s">
        <v>253</v>
      </c>
    </row>
    <row r="19" customFormat="false" ht="16.5" hidden="false" customHeight="true" outlineLevel="0" collapsed="false">
      <c r="B19" s="32"/>
      <c r="C19" s="32"/>
      <c r="D19" s="213" t="n">
        <v>0.05</v>
      </c>
      <c r="E19" s="213" t="n">
        <v>0.04</v>
      </c>
      <c r="F19" s="213" t="n">
        <v>0.035</v>
      </c>
      <c r="G19" s="214" t="n">
        <v>0.03</v>
      </c>
      <c r="H19" s="215" t="n">
        <v>0.025</v>
      </c>
      <c r="I19" s="215" t="n">
        <v>0.02</v>
      </c>
      <c r="J19" s="215" t="n">
        <v>0.015</v>
      </c>
    </row>
    <row r="20" customFormat="false" ht="16.5" hidden="false" customHeight="true" outlineLevel="0" collapsed="false">
      <c r="B20" s="216" t="s">
        <v>299</v>
      </c>
      <c r="C20" s="217" t="s">
        <v>300</v>
      </c>
      <c r="D20" s="218" t="n">
        <v>0.04</v>
      </c>
      <c r="E20" s="218" t="n">
        <v>0.04</v>
      </c>
      <c r="F20" s="218" t="n">
        <v>0.04</v>
      </c>
      <c r="G20" s="218" t="n">
        <v>0.04</v>
      </c>
      <c r="H20" s="218" t="n">
        <v>0.04</v>
      </c>
      <c r="I20" s="218" t="n">
        <v>0.04</v>
      </c>
      <c r="J20" s="218" t="n">
        <v>0.04</v>
      </c>
    </row>
    <row r="21" customFormat="false" ht="16.5" hidden="false" customHeight="true" outlineLevel="0" collapsed="false">
      <c r="B21" s="216" t="s">
        <v>301</v>
      </c>
      <c r="C21" s="192" t="s">
        <v>302</v>
      </c>
      <c r="D21" s="219" t="n">
        <v>0.0123</v>
      </c>
      <c r="E21" s="219" t="n">
        <v>0.0123</v>
      </c>
      <c r="F21" s="219" t="n">
        <v>0.0123</v>
      </c>
      <c r="G21" s="219" t="n">
        <v>0.0123</v>
      </c>
      <c r="H21" s="219" t="n">
        <v>0.0123</v>
      </c>
      <c r="I21" s="219" t="n">
        <v>0.0123</v>
      </c>
      <c r="J21" s="219" t="n">
        <v>0.0123</v>
      </c>
    </row>
    <row r="22" customFormat="false" ht="16.5" hidden="false" customHeight="true" outlineLevel="0" collapsed="false">
      <c r="B22" s="216" t="s">
        <v>303</v>
      </c>
      <c r="C22" s="192" t="s">
        <v>304</v>
      </c>
      <c r="D22" s="219" t="n">
        <v>0.008</v>
      </c>
      <c r="E22" s="219" t="n">
        <v>0.008</v>
      </c>
      <c r="F22" s="219" t="n">
        <v>0.008</v>
      </c>
      <c r="G22" s="219" t="n">
        <v>0.008</v>
      </c>
      <c r="H22" s="219" t="n">
        <v>0.008</v>
      </c>
      <c r="I22" s="219" t="n">
        <v>0.008</v>
      </c>
      <c r="J22" s="219" t="n">
        <v>0.008</v>
      </c>
    </row>
    <row r="23" customFormat="false" ht="16.5" hidden="false" customHeight="true" outlineLevel="0" collapsed="false">
      <c r="B23" s="216" t="s">
        <v>305</v>
      </c>
      <c r="C23" s="192" t="s">
        <v>306</v>
      </c>
      <c r="D23" s="219" t="n">
        <v>0.0127</v>
      </c>
      <c r="E23" s="219" t="n">
        <v>0.0127</v>
      </c>
      <c r="F23" s="219" t="n">
        <v>0.0127</v>
      </c>
      <c r="G23" s="219" t="n">
        <v>0.0127</v>
      </c>
      <c r="H23" s="219" t="n">
        <v>0.0127</v>
      </c>
      <c r="I23" s="219" t="n">
        <v>0.0127</v>
      </c>
      <c r="J23" s="219" t="n">
        <v>0.0127</v>
      </c>
    </row>
    <row r="24" customFormat="false" ht="16.5" hidden="false" customHeight="true" outlineLevel="0" collapsed="false">
      <c r="B24" s="216" t="s">
        <v>307</v>
      </c>
      <c r="C24" s="192" t="s">
        <v>308</v>
      </c>
      <c r="D24" s="219" t="n">
        <v>0.074</v>
      </c>
      <c r="E24" s="219" t="n">
        <v>0.074</v>
      </c>
      <c r="F24" s="219" t="n">
        <v>0.074</v>
      </c>
      <c r="G24" s="219" t="n">
        <v>0.074</v>
      </c>
      <c r="H24" s="219" t="n">
        <v>0.074</v>
      </c>
      <c r="I24" s="219" t="n">
        <v>0.074</v>
      </c>
      <c r="J24" s="219" t="n">
        <v>0.074</v>
      </c>
    </row>
    <row r="25" customFormat="false" ht="16.5" hidden="false" customHeight="true" outlineLevel="0" collapsed="false">
      <c r="B25" s="216" t="s">
        <v>199</v>
      </c>
      <c r="C25" s="192" t="s">
        <v>309</v>
      </c>
      <c r="D25" s="219" t="n">
        <v>0.0065</v>
      </c>
      <c r="E25" s="219" t="n">
        <v>0.0065</v>
      </c>
      <c r="F25" s="219" t="n">
        <v>0.0065</v>
      </c>
      <c r="G25" s="219" t="n">
        <v>0.0065</v>
      </c>
      <c r="H25" s="219" t="n">
        <v>0.0065</v>
      </c>
      <c r="I25" s="219" t="n">
        <v>0.0065</v>
      </c>
      <c r="J25" s="219" t="n">
        <v>0.0065</v>
      </c>
    </row>
    <row r="26" customFormat="false" ht="16.5" hidden="false" customHeight="true" outlineLevel="0" collapsed="false">
      <c r="B26" s="216"/>
      <c r="C26" s="216" t="s">
        <v>310</v>
      </c>
      <c r="D26" s="220" t="n">
        <v>0.03</v>
      </c>
      <c r="E26" s="220" t="n">
        <v>0.03</v>
      </c>
      <c r="F26" s="220" t="n">
        <v>0.03</v>
      </c>
      <c r="G26" s="220" t="n">
        <v>0.03</v>
      </c>
      <c r="H26" s="220" t="n">
        <v>0.03</v>
      </c>
      <c r="I26" s="220" t="n">
        <v>0.03</v>
      </c>
      <c r="J26" s="220" t="n">
        <v>0.03</v>
      </c>
    </row>
    <row r="27" customFormat="false" ht="16.5" hidden="false" customHeight="true" outlineLevel="0" collapsed="false">
      <c r="B27" s="216"/>
      <c r="C27" s="216" t="s">
        <v>253</v>
      </c>
      <c r="D27" s="220" t="n">
        <v>0.05</v>
      </c>
      <c r="E27" s="220" t="n">
        <v>0.04</v>
      </c>
      <c r="F27" s="219" t="n">
        <v>0.035</v>
      </c>
      <c r="G27" s="220" t="n">
        <v>0.03</v>
      </c>
      <c r="H27" s="220" t="n">
        <v>0.025</v>
      </c>
      <c r="I27" s="220" t="n">
        <v>0.02</v>
      </c>
      <c r="J27" s="219" t="n">
        <v>0.015</v>
      </c>
    </row>
    <row r="28" customFormat="false" ht="16.5" hidden="false" customHeight="true" outlineLevel="0" collapsed="false">
      <c r="B28" s="216"/>
      <c r="C28" s="216" t="s">
        <v>311</v>
      </c>
      <c r="D28" s="220" t="n">
        <v>0</v>
      </c>
      <c r="E28" s="220" t="n">
        <v>0</v>
      </c>
      <c r="F28" s="219" t="n">
        <v>0</v>
      </c>
      <c r="G28" s="220" t="n">
        <v>0</v>
      </c>
      <c r="H28" s="220" t="n">
        <v>0</v>
      </c>
      <c r="I28" s="220" t="n">
        <v>0</v>
      </c>
      <c r="J28" s="219" t="n">
        <v>0</v>
      </c>
    </row>
    <row r="29" customFormat="false" ht="19.5" hidden="false" customHeight="true" outlineLevel="0" collapsed="false">
      <c r="B29" s="120" t="s">
        <v>312</v>
      </c>
      <c r="C29" s="120"/>
      <c r="D29" s="221" t="n">
        <f aca="false">(((1+D22+D20+D23)*(1+D21)*(1+D24))/(1-(D25+D26+D27+D28))-1)</f>
        <v>0.262401597307061</v>
      </c>
      <c r="E29" s="221" t="n">
        <f aca="false">(((1+E22+E20+E23)*(1+E21)*(1+E24))/(1-(E25+E26+E27+E28))-1)</f>
        <v>0.248731845305902</v>
      </c>
      <c r="F29" s="221" t="n">
        <f aca="false">(((1+F22+F20+F23)*(1+F21)*(1+F24))/(1-(F25+F26+F27+F28))-1)</f>
        <v>0.24200738733441</v>
      </c>
      <c r="G29" s="221" t="n">
        <f aca="false">(((1+G22+G20+G23)*(1+G21)*(1+G24))/(1-(G25+G26+G27+G28))-1)</f>
        <v>0.235354964263524</v>
      </c>
      <c r="H29" s="221" t="n">
        <f aca="false">(((1+H22+H20+H23)*(1+H21)*(1+H24))/(1-(H25+H26+H27+H28))-1)</f>
        <v>0.22877342476292</v>
      </c>
      <c r="I29" s="221" t="n">
        <f aca="false">(((1+I22+I20+I23)*(1+I21)*(1+I24))/(1-(I25+I26+I27+I28))-1)</f>
        <v>0.22226164190779</v>
      </c>
      <c r="J29" s="221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22" t="s">
        <v>313</v>
      </c>
      <c r="C30" s="222"/>
      <c r="D30" s="223" t="n">
        <f aca="false">ROUND(D29,4)</f>
        <v>0.2624</v>
      </c>
      <c r="E30" s="223" t="n">
        <f aca="false">ROUND(E29,4)</f>
        <v>0.2487</v>
      </c>
      <c r="F30" s="223" t="n">
        <f aca="false">ROUND(F29,4)</f>
        <v>0.242</v>
      </c>
      <c r="G30" s="223" t="n">
        <f aca="false">ROUND(G29,4)</f>
        <v>0.2354</v>
      </c>
      <c r="H30" s="223" t="n">
        <f aca="false">ROUND(H29,4)</f>
        <v>0.2288</v>
      </c>
      <c r="I30" s="223" t="n">
        <f aca="false">ROUND(I29,4)</f>
        <v>0.2223</v>
      </c>
      <c r="J30" s="223" t="n">
        <f aca="false">ROUND(J29,4)</f>
        <v>0.2158</v>
      </c>
    </row>
    <row r="31" customFormat="false" ht="24.75" hidden="false" customHeight="true" outlineLevel="0" collapsed="false">
      <c r="B31" s="224"/>
      <c r="C31" s="224"/>
      <c r="D31" s="85"/>
      <c r="E31" s="85"/>
      <c r="F31" s="85"/>
      <c r="G31" s="85"/>
      <c r="H31" s="85"/>
      <c r="I31" s="85"/>
      <c r="J31" s="85"/>
    </row>
    <row r="32" customFormat="false" ht="16.5" hidden="false" customHeight="true" outlineLevel="0" collapsed="false">
      <c r="B32" s="32" t="s">
        <v>314</v>
      </c>
      <c r="C32" s="32"/>
      <c r="D32" s="210" t="s">
        <v>253</v>
      </c>
      <c r="E32" s="210" t="s">
        <v>253</v>
      </c>
      <c r="F32" s="210" t="s">
        <v>253</v>
      </c>
      <c r="G32" s="211" t="s">
        <v>253</v>
      </c>
      <c r="H32" s="212" t="s">
        <v>253</v>
      </c>
      <c r="I32" s="212" t="s">
        <v>253</v>
      </c>
      <c r="J32" s="212" t="s">
        <v>253</v>
      </c>
    </row>
    <row r="33" customFormat="false" ht="16.5" hidden="false" customHeight="true" outlineLevel="0" collapsed="false">
      <c r="B33" s="32"/>
      <c r="C33" s="32"/>
      <c r="D33" s="213" t="n">
        <v>0.05</v>
      </c>
      <c r="E33" s="213" t="n">
        <v>0.04</v>
      </c>
      <c r="F33" s="213" t="n">
        <v>0.035</v>
      </c>
      <c r="G33" s="214" t="n">
        <v>0.03</v>
      </c>
      <c r="H33" s="215" t="n">
        <v>0.025</v>
      </c>
      <c r="I33" s="215" t="n">
        <v>0.02</v>
      </c>
      <c r="J33" s="215" t="n">
        <v>0.015</v>
      </c>
    </row>
    <row r="34" customFormat="false" ht="16.5" hidden="false" customHeight="true" outlineLevel="0" collapsed="false">
      <c r="B34" s="216" t="s">
        <v>299</v>
      </c>
      <c r="C34" s="217" t="s">
        <v>300</v>
      </c>
      <c r="D34" s="219" t="n">
        <v>0.0345</v>
      </c>
      <c r="E34" s="219" t="n">
        <v>0.0345</v>
      </c>
      <c r="F34" s="219" t="n">
        <v>0.0345</v>
      </c>
      <c r="G34" s="219" t="n">
        <v>0.0345</v>
      </c>
      <c r="H34" s="219" t="n">
        <v>0.0345</v>
      </c>
      <c r="I34" s="219" t="n">
        <v>0.0345</v>
      </c>
      <c r="J34" s="219" t="n">
        <v>0.0345</v>
      </c>
    </row>
    <row r="35" customFormat="false" ht="16.5" hidden="false" customHeight="true" outlineLevel="0" collapsed="false">
      <c r="B35" s="216" t="s">
        <v>301</v>
      </c>
      <c r="C35" s="192" t="s">
        <v>302</v>
      </c>
      <c r="D35" s="219" t="n">
        <v>0.0085</v>
      </c>
      <c r="E35" s="219" t="n">
        <v>0.0085</v>
      </c>
      <c r="F35" s="219" t="n">
        <v>0.0085</v>
      </c>
      <c r="G35" s="219" t="n">
        <v>0.0085</v>
      </c>
      <c r="H35" s="219" t="n">
        <v>0.0085</v>
      </c>
      <c r="I35" s="219" t="n">
        <v>0.0085</v>
      </c>
      <c r="J35" s="219" t="n">
        <v>0.0085</v>
      </c>
    </row>
    <row r="36" customFormat="false" ht="16.5" hidden="false" customHeight="true" outlineLevel="0" collapsed="false">
      <c r="B36" s="216" t="s">
        <v>303</v>
      </c>
      <c r="C36" s="192" t="s">
        <v>304</v>
      </c>
      <c r="D36" s="219" t="n">
        <v>0.0048</v>
      </c>
      <c r="E36" s="219" t="n">
        <v>0.0048</v>
      </c>
      <c r="F36" s="219" t="n">
        <v>0.0048</v>
      </c>
      <c r="G36" s="219" t="n">
        <v>0.0048</v>
      </c>
      <c r="H36" s="219" t="n">
        <v>0.0048</v>
      </c>
      <c r="I36" s="219" t="n">
        <v>0.0048</v>
      </c>
      <c r="J36" s="219" t="n">
        <v>0.0048</v>
      </c>
    </row>
    <row r="37" customFormat="false" ht="16.5" hidden="false" customHeight="true" outlineLevel="0" collapsed="false">
      <c r="B37" s="216" t="s">
        <v>305</v>
      </c>
      <c r="C37" s="192" t="s">
        <v>306</v>
      </c>
      <c r="D37" s="219" t="n">
        <v>0.0085</v>
      </c>
      <c r="E37" s="219" t="n">
        <v>0.0085</v>
      </c>
      <c r="F37" s="219" t="n">
        <v>0.0085</v>
      </c>
      <c r="G37" s="219" t="n">
        <v>0.0085</v>
      </c>
      <c r="H37" s="219" t="n">
        <v>0.0085</v>
      </c>
      <c r="I37" s="219" t="n">
        <v>0.0085</v>
      </c>
      <c r="J37" s="219" t="n">
        <v>0.0085</v>
      </c>
    </row>
    <row r="38" customFormat="false" ht="16.5" hidden="false" customHeight="true" outlineLevel="0" collapsed="false">
      <c r="B38" s="216" t="s">
        <v>307</v>
      </c>
      <c r="C38" s="192" t="s">
        <v>308</v>
      </c>
      <c r="D38" s="219" t="n">
        <v>0.0511</v>
      </c>
      <c r="E38" s="219" t="n">
        <v>0.0511</v>
      </c>
      <c r="F38" s="219" t="n">
        <v>0.0511</v>
      </c>
      <c r="G38" s="219" t="n">
        <v>0.0511</v>
      </c>
      <c r="H38" s="219" t="n">
        <v>0.0511</v>
      </c>
      <c r="I38" s="219" t="n">
        <v>0.0511</v>
      </c>
      <c r="J38" s="219" t="n">
        <v>0.0511</v>
      </c>
    </row>
    <row r="39" customFormat="false" ht="16.5" hidden="false" customHeight="true" outlineLevel="0" collapsed="false">
      <c r="B39" s="216" t="s">
        <v>199</v>
      </c>
      <c r="C39" s="192" t="s">
        <v>309</v>
      </c>
      <c r="D39" s="219" t="n">
        <v>0.0065</v>
      </c>
      <c r="E39" s="219" t="n">
        <v>0.0065</v>
      </c>
      <c r="F39" s="219" t="n">
        <v>0.0065</v>
      </c>
      <c r="G39" s="219" t="n">
        <v>0.0065</v>
      </c>
      <c r="H39" s="219" t="n">
        <v>0.0065</v>
      </c>
      <c r="I39" s="219" t="n">
        <v>0.0065</v>
      </c>
      <c r="J39" s="219" t="n">
        <v>0.0065</v>
      </c>
    </row>
    <row r="40" customFormat="false" ht="16.5" hidden="false" customHeight="true" outlineLevel="0" collapsed="false">
      <c r="B40" s="216"/>
      <c r="C40" s="216" t="s">
        <v>310</v>
      </c>
      <c r="D40" s="220" t="n">
        <v>0.03</v>
      </c>
      <c r="E40" s="220" t="n">
        <v>0.03</v>
      </c>
      <c r="F40" s="220" t="n">
        <v>0.03</v>
      </c>
      <c r="G40" s="220" t="n">
        <v>0.03</v>
      </c>
      <c r="H40" s="220" t="n">
        <v>0.03</v>
      </c>
      <c r="I40" s="220" t="n">
        <v>0.03</v>
      </c>
      <c r="J40" s="220" t="n">
        <v>0.03</v>
      </c>
    </row>
    <row r="41" customFormat="false" ht="16.5" hidden="false" customHeight="true" outlineLevel="0" collapsed="false">
      <c r="B41" s="216"/>
      <c r="C41" s="216" t="s">
        <v>253</v>
      </c>
      <c r="D41" s="220" t="n">
        <v>0</v>
      </c>
      <c r="E41" s="220" t="n">
        <v>0</v>
      </c>
      <c r="F41" s="219" t="n">
        <v>0</v>
      </c>
      <c r="G41" s="220" t="n">
        <v>0</v>
      </c>
      <c r="H41" s="220" t="n">
        <v>0</v>
      </c>
      <c r="I41" s="220" t="n">
        <v>0</v>
      </c>
      <c r="J41" s="219" t="n">
        <v>0</v>
      </c>
    </row>
    <row r="42" customFormat="false" ht="16.5" hidden="false" customHeight="true" outlineLevel="0" collapsed="false">
      <c r="B42" s="216"/>
      <c r="C42" s="216" t="s">
        <v>311</v>
      </c>
      <c r="D42" s="220" t="n">
        <v>0</v>
      </c>
      <c r="E42" s="220" t="n">
        <v>0</v>
      </c>
      <c r="F42" s="219" t="n">
        <v>0</v>
      </c>
      <c r="G42" s="220" t="n">
        <v>0</v>
      </c>
      <c r="H42" s="220" t="n">
        <v>0</v>
      </c>
      <c r="I42" s="220" t="n">
        <v>0</v>
      </c>
      <c r="J42" s="219" t="n">
        <v>0</v>
      </c>
    </row>
    <row r="43" customFormat="false" ht="16.5" hidden="false" customHeight="true" outlineLevel="0" collapsed="false">
      <c r="B43" s="225" t="s">
        <v>312</v>
      </c>
      <c r="C43" s="225"/>
      <c r="D43" s="221" t="n">
        <f aca="false">(((1+D36+D34+D37)*(1+D35)*(1+D38))/(1-(D39+D40+D41+D42))-1)</f>
        <v>0.152780479429164</v>
      </c>
      <c r="E43" s="221" t="n">
        <f aca="false">(((1+E36+E34+E37)*(1+E35)*(1+E38))/(1-(E39+E40+E41+E42))-1)</f>
        <v>0.152780479429164</v>
      </c>
      <c r="F43" s="221" t="n">
        <f aca="false">(((1+F36+F34+F37)*(1+F35)*(1+F38))/(1-(F39+F40+F41+F42))-1)</f>
        <v>0.152780479429164</v>
      </c>
      <c r="G43" s="221" t="n">
        <f aca="false">(((1+G36+G34+G37)*(1+G35)*(1+G38))/(1-(G39+G40+G41+G42))-1)</f>
        <v>0.152780479429164</v>
      </c>
      <c r="H43" s="221" t="n">
        <f aca="false">(((1+H36+H34+H37)*(1+H35)*(1+H38))/(1-(H39+H40+H41+H42))-1)</f>
        <v>0.152780479429164</v>
      </c>
      <c r="I43" s="221" t="n">
        <f aca="false">(((1+I36+I34+I37)*(1+I35)*(1+I38))/(1-(I39+I40+I41+I42))-1)</f>
        <v>0.152780479429164</v>
      </c>
      <c r="J43" s="221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26" t="s">
        <v>313</v>
      </c>
      <c r="C44" s="226"/>
      <c r="D44" s="223" t="n">
        <f aca="false">ROUND(D43,4)</f>
        <v>0.1528</v>
      </c>
      <c r="E44" s="223" t="n">
        <f aca="false">ROUND(E43,4)</f>
        <v>0.1528</v>
      </c>
      <c r="F44" s="223" t="n">
        <f aca="false">ROUND(F43,4)</f>
        <v>0.1528</v>
      </c>
      <c r="G44" s="223" t="n">
        <f aca="false">ROUND(G43,4)</f>
        <v>0.1528</v>
      </c>
      <c r="H44" s="223" t="n">
        <f aca="false">ROUND(H43,4)</f>
        <v>0.1528</v>
      </c>
      <c r="I44" s="223" t="n">
        <f aca="false">ROUND(I43,4)</f>
        <v>0.1528</v>
      </c>
      <c r="J44" s="223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28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M15" activeCellId="0" sqref="M15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1" width="32.4"/>
    <col collapsed="false" customWidth="true" hidden="false" outlineLevel="0" max="3" min="3" style="16" width="9.1"/>
    <col collapsed="false" customWidth="true" hidden="false" outlineLevel="0" max="4" min="4" style="16" width="12.2"/>
    <col collapsed="false" customWidth="true" hidden="false" outlineLevel="0" max="5" min="5" style="16" width="13.6"/>
    <col collapsed="false" customWidth="true" hidden="false" outlineLevel="0" max="6" min="6" style="16" width="7"/>
    <col collapsed="false" customWidth="true" hidden="false" outlineLevel="0" max="7" min="7" style="16" width="11.9"/>
    <col collapsed="false" customWidth="true" hidden="false" outlineLevel="0" max="8" min="8" style="16" width="13.2"/>
    <col collapsed="false" customWidth="true" hidden="false" outlineLevel="0" max="9" min="9" style="16" width="12.7"/>
    <col collapsed="false" customWidth="true" hidden="false" outlineLevel="0" max="11" min="10" style="16" width="13"/>
    <col collapsed="false" customWidth="true" hidden="false" outlineLevel="0" max="13" min="12" style="16" width="9.28"/>
    <col collapsed="false" customWidth="true" hidden="false" outlineLevel="0" max="248" min="14" style="16" width="10.6"/>
    <col collapsed="false" customWidth="true" hidden="false" outlineLevel="0" max="1024" min="1019" style="1" width="8.5"/>
  </cols>
  <sheetData>
    <row r="2" customFormat="false" ht="24.75" hidden="false" customHeight="true" outlineLevel="0" collapsed="false">
      <c r="B2" s="42" t="str">
        <f aca="false">"DIVISÃO DOS CUSTOS POR ALÍQUOTA DE ISSQN - "&amp;'Valor da Contratação'!B7&amp;""</f>
        <v>DIVISÃO DOS CUSTOS POR ALÍQUOTA DE ISSQN - POLO III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customFormat="false" ht="16.5" hidden="false" customHeight="true" outlineLevel="0" collapsed="false"/>
    <row r="4" customFormat="false" ht="45.75" hidden="false" customHeight="true" outlineLevel="0" collapsed="false">
      <c r="B4" s="227" t="s">
        <v>40</v>
      </c>
      <c r="C4" s="228" t="s">
        <v>315</v>
      </c>
      <c r="D4" s="228" t="s">
        <v>316</v>
      </c>
      <c r="E4" s="228" t="s">
        <v>317</v>
      </c>
      <c r="F4" s="229"/>
      <c r="G4" s="228" t="s">
        <v>318</v>
      </c>
      <c r="H4" s="228" t="s">
        <v>319</v>
      </c>
      <c r="I4" s="228" t="s">
        <v>320</v>
      </c>
      <c r="J4" s="228" t="s">
        <v>321</v>
      </c>
      <c r="K4" s="228" t="s">
        <v>322</v>
      </c>
      <c r="L4" s="228" t="s">
        <v>323</v>
      </c>
      <c r="M4" s="228" t="s">
        <v>324</v>
      </c>
    </row>
    <row r="5" customFormat="false" ht="15" hidden="false" customHeight="true" outlineLevel="0" collapsed="false">
      <c r="B5" s="114" t="str">
        <f aca="false">'Base Curitiba'!B7</f>
        <v>APS ARAUCÁRIA</v>
      </c>
      <c r="C5" s="230" t="n">
        <f aca="false">VLOOKUP(B5,Unidades!$D$5:$G$27,4,)</f>
        <v>0.05</v>
      </c>
      <c r="D5" s="231" t="n">
        <f aca="false">'Base Curitiba'!AD7*12+'Base Curitiba'!AE7*4+'Base Curitiba'!AF7*2+'Base Curitiba'!AG7</f>
        <v>10089.0952239701</v>
      </c>
      <c r="E5" s="231" t="n">
        <f aca="false">'Base Curitiba'!AK7*12+'Base Curitiba'!AL7*4+'Base Curitiba'!AM7*2+'Base Curitiba'!AN7</f>
        <v>12736.4738107399</v>
      </c>
      <c r="G5" s="220" t="n">
        <v>0.02</v>
      </c>
      <c r="H5" s="232" t="n">
        <f aca="false">SUMIF(C$5:C$27,G5,D$5:D$27)</f>
        <v>49229.1826198506</v>
      </c>
      <c r="I5" s="232" t="n">
        <f aca="false">SUMIF(C$5:C$27,G5,E$5:E$27)</f>
        <v>60172.8299162434</v>
      </c>
      <c r="J5" s="232" t="n">
        <f aca="false">H5*4</f>
        <v>196916.730479402</v>
      </c>
      <c r="K5" s="232" t="n">
        <f aca="false">I5*4</f>
        <v>240691.319664973</v>
      </c>
      <c r="L5" s="233" t="n">
        <f aca="false">H5/H$13</f>
        <v>0.156849247117169</v>
      </c>
      <c r="M5" s="233" t="n">
        <f aca="false">I5/I$13</f>
        <v>0.154356377130557</v>
      </c>
    </row>
    <row r="6" customFormat="false" ht="15" hidden="false" customHeight="true" outlineLevel="0" collapsed="false">
      <c r="B6" s="114" t="str">
        <f aca="false">'Base Curitiba'!B8</f>
        <v>APS CAMPO LARGO</v>
      </c>
      <c r="C6" s="230" t="n">
        <f aca="false">VLOOKUP(B6,Unidades!$D$5:$G$27,4,)</f>
        <v>0.03</v>
      </c>
      <c r="D6" s="231" t="n">
        <f aca="false">'Base Curitiba'!AD8*12+'Base Curitiba'!AE8*4+'Base Curitiba'!AF8*2+'Base Curitiba'!AG8</f>
        <v>10330.2172239701</v>
      </c>
      <c r="E6" s="231" t="n">
        <f aca="false">'Base Curitiba'!AK8*12+'Base Curitiba'!AL8*4+'Base Curitiba'!AM8*2+'Base Curitiba'!AN8</f>
        <v>12761.9503584927</v>
      </c>
      <c r="G6" s="220" t="n">
        <v>0.025</v>
      </c>
      <c r="H6" s="232" t="n">
        <f aca="false">SUMIF(C$5:C$27,G6,D$5:D$27)</f>
        <v>47886.4059846898</v>
      </c>
      <c r="I6" s="232" t="n">
        <f aca="false">SUMIF(C$5:C$27,G6,E$5:E$27)</f>
        <v>58842.8156739869</v>
      </c>
      <c r="J6" s="232" t="n">
        <f aca="false">H6*4</f>
        <v>191545.623938759</v>
      </c>
      <c r="K6" s="232" t="n">
        <f aca="false">I6*4</f>
        <v>235371.262695948</v>
      </c>
      <c r="L6" s="233" t="n">
        <f aca="false">H6/H$13</f>
        <v>0.152571022432882</v>
      </c>
      <c r="M6" s="233" t="n">
        <f aca="false">I6/I$13</f>
        <v>0.150944601745345</v>
      </c>
    </row>
    <row r="7" customFormat="false" ht="15" hidden="false" customHeight="true" outlineLevel="0" collapsed="false">
      <c r="B7" s="114" t="str">
        <f aca="false">'Base Curitiba'!B9</f>
        <v>APS COLOMBO</v>
      </c>
      <c r="C7" s="230" t="n">
        <f aca="false">VLOOKUP(B7,Unidades!$D$5:$G$27,4,)</f>
        <v>0.02</v>
      </c>
      <c r="D7" s="231" t="n">
        <f aca="false">'Base Curitiba'!AD9*12+'Base Curitiba'!AE9*4+'Base Curitiba'!AF9*2+'Base Curitiba'!AG9</f>
        <v>9492.03122397012</v>
      </c>
      <c r="E7" s="231" t="n">
        <f aca="false">'Base Curitiba'!AK9*12+'Base Curitiba'!AL9*4+'Base Curitiba'!AM9*2+'Base Curitiba'!AN9</f>
        <v>11602.1097650587</v>
      </c>
      <c r="G7" s="220" t="n">
        <v>0.03</v>
      </c>
      <c r="H7" s="232" t="n">
        <f aca="false">SUMIF(C$5:C$27,G7,D$5:D$27)</f>
        <v>88796.497955227</v>
      </c>
      <c r="I7" s="232" t="n">
        <f aca="false">SUMIF(C$5:C$27,G7,E$5:E$27)</f>
        <v>109699.193573887</v>
      </c>
      <c r="J7" s="232" t="n">
        <f aca="false">H7*4</f>
        <v>355185.991820908</v>
      </c>
      <c r="K7" s="232" t="n">
        <f aca="false">I7*4</f>
        <v>438796.77429555</v>
      </c>
      <c r="L7" s="233" t="n">
        <f aca="false">H7/H$13</f>
        <v>0.282914789759328</v>
      </c>
      <c r="M7" s="233" t="n">
        <f aca="false">I7/I$13</f>
        <v>0.281402256097615</v>
      </c>
    </row>
    <row r="8" customFormat="false" ht="15" hidden="false" customHeight="true" outlineLevel="0" collapsed="false">
      <c r="B8" s="114" t="str">
        <f aca="false">'Base Curitiba'!B10</f>
        <v>APS CURITIBA-CÂNDIDO LOPES</v>
      </c>
      <c r="C8" s="230" t="n">
        <f aca="false">VLOOKUP(B8,Unidades!$D$5:$G$27,4,)</f>
        <v>0.05</v>
      </c>
      <c r="D8" s="231" t="n">
        <f aca="false">'Base Curitiba'!AD10*12+'Base Curitiba'!AE10*4+'Base Curitiba'!AF10*2+'Base Curitiba'!AG10</f>
        <v>19247.0045670016</v>
      </c>
      <c r="E8" s="231" t="n">
        <f aca="false">'Base Curitiba'!AK10*12+'Base Curitiba'!AL10*4+'Base Curitiba'!AM10*2+'Base Curitiba'!AN10</f>
        <v>24297.4185653829</v>
      </c>
      <c r="G8" s="220" t="n">
        <v>0.035</v>
      </c>
      <c r="H8" s="232" t="n">
        <f aca="false">SUMIF(C$5:C$27,G8,D$5:D$27)</f>
        <v>0</v>
      </c>
      <c r="I8" s="232" t="n">
        <f aca="false">SUMIF(C$5:C$27,G8,E$5:E$27)</f>
        <v>0</v>
      </c>
      <c r="J8" s="232" t="n">
        <f aca="false">H8*4</f>
        <v>0</v>
      </c>
      <c r="K8" s="232" t="n">
        <f aca="false">I8*4</f>
        <v>0</v>
      </c>
      <c r="L8" s="233" t="n">
        <f aca="false">H8/H$13</f>
        <v>0</v>
      </c>
      <c r="M8" s="233" t="n">
        <f aca="false">I8/I$13</f>
        <v>0</v>
      </c>
    </row>
    <row r="9" s="29" customFormat="true" ht="15" hidden="false" customHeight="true" outlineLevel="0" collapsed="false">
      <c r="B9" s="114" t="str">
        <f aca="false">'Base Curitiba'!B11</f>
        <v>APS CURITIBA-HAUER</v>
      </c>
      <c r="C9" s="230" t="n">
        <f aca="false">VLOOKUP(B9,Unidades!$D$5:$G$27,4,)</f>
        <v>0.05</v>
      </c>
      <c r="D9" s="231" t="n">
        <f aca="false">'Base Curitiba'!AD11*12+'Base Curitiba'!AE11*4+'Base Curitiba'!AF11*2+'Base Curitiba'!AG11</f>
        <v>11446.6042986268</v>
      </c>
      <c r="E9" s="231" t="n">
        <f aca="false">'Base Curitiba'!AK11*12+'Base Curitiba'!AL11*4+'Base Curitiba'!AM11*2+'Base Curitiba'!AN11</f>
        <v>14450.1932665865</v>
      </c>
      <c r="G9" s="220" t="n">
        <v>0.04</v>
      </c>
      <c r="H9" s="232" t="n">
        <f aca="false">SUMIF(C$5:C$27,G9,D$5:D$27)</f>
        <v>29897.1671416583</v>
      </c>
      <c r="I9" s="232" t="n">
        <f aca="false">SUMIF(C$5:C$27,G9,E$5:E$27)</f>
        <v>37332.5926097888</v>
      </c>
      <c r="J9" s="232" t="n">
        <f aca="false">H9*4</f>
        <v>119588.668566633</v>
      </c>
      <c r="K9" s="232" t="n">
        <f aca="false">I9*4</f>
        <v>149330.370439155</v>
      </c>
      <c r="L9" s="233" t="n">
        <f aca="false">H9/H$13</f>
        <v>0.095255454337249</v>
      </c>
      <c r="M9" s="233" t="n">
        <f aca="false">I9/I$13</f>
        <v>0.0957662079739153</v>
      </c>
      <c r="IO9" s="33"/>
    </row>
    <row r="10" s="29" customFormat="true" ht="15" hidden="false" customHeight="true" outlineLevel="0" collapsed="false">
      <c r="B10" s="114" t="str">
        <f aca="false">'Base Curitiba'!B12</f>
        <v>APS CURITIBA-VISC. DE GUARAPUAVA</v>
      </c>
      <c r="C10" s="230" t="n">
        <f aca="false">VLOOKUP(B10,Unidades!$D$5:$G$27,4,)</f>
        <v>0.05</v>
      </c>
      <c r="D10" s="231" t="n">
        <f aca="false">'Base Curitiba'!AD12*12+'Base Curitiba'!AE12*4+'Base Curitiba'!AF12*2+'Base Curitiba'!AG12</f>
        <v>19247.0045670016</v>
      </c>
      <c r="E10" s="231" t="n">
        <f aca="false">'Base Curitiba'!AK12*12+'Base Curitiba'!AL12*4+'Base Curitiba'!AM12*2+'Base Curitiba'!AN12</f>
        <v>24297.4185653829</v>
      </c>
      <c r="G10" s="220" t="n">
        <v>0.045</v>
      </c>
      <c r="H10" s="232" t="n">
        <f aca="false">SUMIF(C$5:C$27,G10,D$5:D$27)</f>
        <v>0</v>
      </c>
      <c r="I10" s="232" t="n">
        <f aca="false">SUMIF(C$5:C$27,G10,E$5:E$27)</f>
        <v>0</v>
      </c>
      <c r="J10" s="232" t="n">
        <f aca="false">H10*4</f>
        <v>0</v>
      </c>
      <c r="K10" s="232" t="n">
        <f aca="false">I10*4</f>
        <v>0</v>
      </c>
      <c r="L10" s="233" t="n">
        <f aca="false">H10/H$13</f>
        <v>0</v>
      </c>
      <c r="M10" s="233" t="n">
        <f aca="false">I10/I$13</f>
        <v>0</v>
      </c>
      <c r="IO10" s="33"/>
    </row>
    <row r="11" customFormat="false" ht="15" hidden="false" customHeight="true" outlineLevel="0" collapsed="false">
      <c r="B11" s="114" t="str">
        <f aca="false">'Base Curitiba'!B13</f>
        <v>APS FAZENDA RIO GRANDE</v>
      </c>
      <c r="C11" s="230" t="n">
        <f aca="false">VLOOKUP(B11,Unidades!$D$5:$G$27,4,)</f>
        <v>0.02</v>
      </c>
      <c r="D11" s="231" t="n">
        <f aca="false">'Base Curitiba'!AD13*12+'Base Curitiba'!AE13*4+'Base Curitiba'!AF13*2+'Base Curitiba'!AG13</f>
        <v>9423.13922397012</v>
      </c>
      <c r="E11" s="231" t="n">
        <f aca="false">'Base Curitiba'!AK13*12+'Base Curitiba'!AL13*4+'Base Curitiba'!AM13*2+'Base Curitiba'!AN13</f>
        <v>11517.9030734587</v>
      </c>
      <c r="G11" s="220" t="n">
        <v>0.05</v>
      </c>
      <c r="H11" s="232" t="n">
        <f aca="false">SUMIF(C$5:C$27,G11,D$5:D$27)</f>
        <v>98053.7932985742</v>
      </c>
      <c r="I11" s="232" t="n">
        <f aca="false">SUMIF(C$5:C$27,G11,E$5:E$27)</f>
        <v>123783.10866012</v>
      </c>
      <c r="J11" s="232" t="n">
        <f aca="false">H11*4</f>
        <v>392215.173194297</v>
      </c>
      <c r="K11" s="232" t="n">
        <f aca="false">I11*4</f>
        <v>495132.43464048</v>
      </c>
      <c r="L11" s="233" t="n">
        <f aca="false">H11/H$13</f>
        <v>0.312409486353372</v>
      </c>
      <c r="M11" s="233" t="n">
        <f aca="false">I11/I$13</f>
        <v>0.317530557052568</v>
      </c>
    </row>
    <row r="12" customFormat="false" ht="15" hidden="false" customHeight="true" outlineLevel="0" collapsed="false">
      <c r="B12" s="114" t="str">
        <f aca="false">'Base Curitiba'!B14</f>
        <v>APS ITAPERUÇU</v>
      </c>
      <c r="C12" s="230" t="n">
        <f aca="false">VLOOKUP(B12,Unidades!$D$5:$G$27,4,)</f>
        <v>0.025</v>
      </c>
      <c r="D12" s="231" t="n">
        <f aca="false">'Base Curitiba'!AD14*12+'Base Curitiba'!AE14*4+'Base Curitiba'!AF14*2+'Base Curitiba'!AG14</f>
        <v>9492.03122397012</v>
      </c>
      <c r="E12" s="231" t="n">
        <f aca="false">'Base Curitiba'!AK14*12+'Base Curitiba'!AL14*4+'Base Curitiba'!AM14*2+'Base Curitiba'!AN14</f>
        <v>11663.8079680145</v>
      </c>
      <c r="G12" s="17"/>
    </row>
    <row r="13" s="16" customFormat="true" ht="15" hidden="false" customHeight="true" outlineLevel="0" collapsed="false">
      <c r="B13" s="114" t="str">
        <f aca="false">'Base Curitiba'!B15</f>
        <v>APS LAPA</v>
      </c>
      <c r="C13" s="230" t="n">
        <f aca="false">VLOOKUP(B13,Unidades!$D$5:$G$27,4,)</f>
        <v>0.02</v>
      </c>
      <c r="D13" s="231" t="n">
        <f aca="false">'Base Curitiba'!AD15*12+'Base Curitiba'!AE15*4+'Base Curitiba'!AF15*2+'Base Curitiba'!AG15</f>
        <v>10089.0952239701</v>
      </c>
      <c r="E13" s="231" t="n">
        <f aca="false">'Base Curitiba'!AK15*12+'Base Curitiba'!AL15*4+'Base Curitiba'!AM15*2+'Base Curitiba'!AN15</f>
        <v>12331.9010922587</v>
      </c>
      <c r="G13" s="228" t="s">
        <v>109</v>
      </c>
      <c r="H13" s="234" t="n">
        <f aca="false">SUM(H5:H11)</f>
        <v>313863.047</v>
      </c>
      <c r="I13" s="234" t="n">
        <f aca="false">SUM(I5:I11)</f>
        <v>389830.540434027</v>
      </c>
      <c r="J13" s="234" t="n">
        <f aca="false">SUM(J5:J11)</f>
        <v>1255452.188</v>
      </c>
      <c r="K13" s="234" t="n">
        <f aca="false">SUM(K5:K11)</f>
        <v>1559322.16173611</v>
      </c>
      <c r="L13" s="235" t="n">
        <f aca="false">SUM(L5:L11)</f>
        <v>1</v>
      </c>
      <c r="M13" s="235" t="n">
        <f aca="false">SUM(M5:M11)</f>
        <v>1</v>
      </c>
    </row>
    <row r="14" s="16" customFormat="true" ht="15" hidden="false" customHeight="true" outlineLevel="0" collapsed="false">
      <c r="B14" s="114" t="str">
        <f aca="false">'Base Curitiba'!B16</f>
        <v>APS MANDIRITUBA</v>
      </c>
      <c r="C14" s="230" t="n">
        <f aca="false">VLOOKUP(B14,Unidades!$D$5:$G$27,4,)</f>
        <v>0.02</v>
      </c>
      <c r="D14" s="231" t="n">
        <f aca="false">'Base Curitiba'!AD16*12+'Base Curitiba'!AE16*4+'Base Curitiba'!AF16*2+'Base Curitiba'!AG16</f>
        <v>9423.13922397012</v>
      </c>
      <c r="E14" s="231" t="n">
        <f aca="false">'Base Curitiba'!AK16*12+'Base Curitiba'!AL16*4+'Base Curitiba'!AM16*2+'Base Curitiba'!AN16</f>
        <v>11517.9030734587</v>
      </c>
    </row>
    <row r="15" s="16" customFormat="true" ht="15" hidden="false" customHeight="true" outlineLevel="0" collapsed="false">
      <c r="B15" s="114" t="str">
        <f aca="false">'Base Curitiba'!B17</f>
        <v>APS PARANAGUÁ</v>
      </c>
      <c r="C15" s="230" t="n">
        <f aca="false">VLOOKUP(B15,Unidades!$D$5:$G$27,4,)</f>
        <v>0.04</v>
      </c>
      <c r="D15" s="231" t="n">
        <f aca="false">'Base Curitiba'!AD17*12+'Base Curitiba'!AE17*4+'Base Curitiba'!AF17*2+'Base Curitiba'!AG17</f>
        <v>16458.4459176882</v>
      </c>
      <c r="E15" s="231" t="n">
        <f aca="false">'Base Curitiba'!AK17*12+'Base Curitiba'!AL17*4+'Base Curitiba'!AM17*2+'Base Curitiba'!AN17</f>
        <v>20551.6614174173</v>
      </c>
    </row>
    <row r="16" s="16" customFormat="true" ht="15" hidden="false" customHeight="true" outlineLevel="0" collapsed="false">
      <c r="B16" s="114" t="str">
        <f aca="false">'Base Curitiba'!B18</f>
        <v>APS PINHAIS</v>
      </c>
      <c r="C16" s="230" t="n">
        <f aca="false">VLOOKUP(B16,Unidades!$D$5:$G$27,4,)</f>
        <v>0.02</v>
      </c>
      <c r="D16" s="231" t="n">
        <f aca="false">'Base Curitiba'!AD18*12+'Base Curitiba'!AE18*4+'Base Curitiba'!AF18*2+'Base Curitiba'!AG18</f>
        <v>10801.7777239701</v>
      </c>
      <c r="E16" s="231" t="n">
        <f aca="false">'Base Curitiba'!AK18*12+'Base Curitiba'!AL18*4+'Base Curitiba'!AM18*2+'Base Curitiba'!AN18</f>
        <v>13203.0129120087</v>
      </c>
    </row>
    <row r="17" s="16" customFormat="true" ht="15" hidden="false" customHeight="true" outlineLevel="0" collapsed="false">
      <c r="B17" s="114" t="str">
        <f aca="false">'Base Curitiba'!B19</f>
        <v>APS SÃO JOSÉ DOS PINHAIS</v>
      </c>
      <c r="C17" s="230" t="n">
        <f aca="false">VLOOKUP(B17,Unidades!$D$5:$G$27,4,)</f>
        <v>0.05</v>
      </c>
      <c r="D17" s="231" t="n">
        <f aca="false">'Base Curitiba'!AD19*12+'Base Curitiba'!AE19*4+'Base Curitiba'!AF19*2+'Base Curitiba'!AG19</f>
        <v>8780.14722397012</v>
      </c>
      <c r="E17" s="231" t="n">
        <f aca="false">'Base Curitiba'!AK19*12+'Base Curitiba'!AL19*4+'Base Curitiba'!AM19*2+'Base Curitiba'!AN19</f>
        <v>11084.0578555399</v>
      </c>
    </row>
    <row r="18" s="16" customFormat="true" ht="15" hidden="false" customHeight="true" outlineLevel="0" collapsed="false">
      <c r="B18" s="114" t="str">
        <f aca="false">'Base Curitiba'!B20</f>
        <v>CEDOCPREV CURITIBA</v>
      </c>
      <c r="C18" s="230" t="n">
        <f aca="false">VLOOKUP(B18,Unidades!$D$5:$G$27,4,)</f>
        <v>0.05</v>
      </c>
      <c r="D18" s="231" t="n">
        <f aca="false">'Base Curitiba'!AD20*12+'Base Curitiba'!AE20*4+'Base Curitiba'!AF20*2+'Base Curitiba'!AG20</f>
        <v>11653.2802986268</v>
      </c>
      <c r="E18" s="231" t="n">
        <f aca="false">'Base Curitiba'!AK20*12+'Base Curitiba'!AL20*4+'Base Curitiba'!AM20*2+'Base Curitiba'!AN20</f>
        <v>14711.1010489865</v>
      </c>
    </row>
    <row r="19" s="16" customFormat="true" ht="15" hidden="false" customHeight="true" outlineLevel="0" collapsed="false">
      <c r="B19" s="114" t="str">
        <f aca="false">'Base Curitiba'!B21</f>
        <v>GEX CURITIBA / APS DIGITAL</v>
      </c>
      <c r="C19" s="230" t="n">
        <f aca="false">VLOOKUP(B19,Unidades!$D$5:$G$27,4,)</f>
        <v>0.05</v>
      </c>
      <c r="D19" s="231" t="n">
        <f aca="false">'Base Curitiba'!AD21*12+'Base Curitiba'!AE21*4+'Base Curitiba'!AF21*2+'Base Curitiba'!AG21</f>
        <v>17590.6571193771</v>
      </c>
      <c r="E19" s="231" t="n">
        <f aca="false">'Base Curitiba'!AK21*12+'Base Curitiba'!AL21*4+'Base Curitiba'!AM21*2+'Base Curitiba'!AN21</f>
        <v>22206.4455475016</v>
      </c>
    </row>
    <row r="20" s="16" customFormat="true" ht="15" hidden="false" customHeight="true" outlineLevel="0" collapsed="false">
      <c r="B20" s="114" t="str">
        <f aca="false">'Base Curitiba'!B22</f>
        <v>APS CASTRO</v>
      </c>
      <c r="C20" s="230" t="n">
        <f aca="false">VLOOKUP(B20,Unidades!$D$5:$G$27,4,)</f>
        <v>0.03</v>
      </c>
      <c r="D20" s="231" t="n">
        <f aca="false">'Base Curitiba'!AD22*12+'Base Curitiba'!AE22*4+'Base Curitiba'!AF22*2+'Base Curitiba'!AG22</f>
        <v>15772.6886715947</v>
      </c>
      <c r="E20" s="231" t="n">
        <f aca="false">'Base Curitiba'!AK22*12+'Base Curitiba'!AL22*4+'Base Curitiba'!AM22*2+'Base Curitiba'!AN22</f>
        <v>19485.5795848881</v>
      </c>
    </row>
    <row r="21" s="16" customFormat="true" ht="15" hidden="false" customHeight="true" outlineLevel="0" collapsed="false">
      <c r="B21" s="114" t="str">
        <f aca="false">'Base Curitiba'!B23</f>
        <v>APS IRATI</v>
      </c>
      <c r="C21" s="230" t="n">
        <f aca="false">VLOOKUP(B21,Unidades!$D$5:$G$27,4,)</f>
        <v>0.03</v>
      </c>
      <c r="D21" s="231" t="n">
        <f aca="false">'Base Curitiba'!AD23*12+'Base Curitiba'!AE23*4+'Base Curitiba'!AF23*2+'Base Curitiba'!AG23</f>
        <v>16105.1782986268</v>
      </c>
      <c r="E21" s="231" t="n">
        <f aca="false">'Base Curitiba'!AK23*12+'Base Curitiba'!AL23*4+'Base Curitiba'!AM23*2+'Base Curitiba'!AN23</f>
        <v>19896.3372701236</v>
      </c>
    </row>
    <row r="22" s="29" customFormat="true" ht="15" hidden="false" customHeight="true" outlineLevel="0" collapsed="false">
      <c r="B22" s="114" t="str">
        <f aca="false">'Base Curitiba'!B24</f>
        <v>APS PALMEIRA</v>
      </c>
      <c r="C22" s="230" t="n">
        <f aca="false">VLOOKUP(B22,Unidades!$D$5:$G$27,4,)</f>
        <v>0.03</v>
      </c>
      <c r="D22" s="231" t="n">
        <f aca="false">'Base Curitiba'!AD24*12+'Base Curitiba'!AE24*4+'Base Curitiba'!AF24*2+'Base Curitiba'!AG24</f>
        <v>10330.2172239701</v>
      </c>
      <c r="E22" s="231" t="n">
        <f aca="false">'Base Curitiba'!AK24*12+'Base Curitiba'!AL24*4+'Base Curitiba'!AM24*2+'Base Curitiba'!AN24</f>
        <v>12761.9503584927</v>
      </c>
    </row>
    <row r="23" s="16" customFormat="true" ht="15" hidden="false" customHeight="true" outlineLevel="0" collapsed="false">
      <c r="B23" s="114" t="str">
        <f aca="false">'Base Curitiba'!B25</f>
        <v>APS SÃO MATEUS DO SUL</v>
      </c>
      <c r="C23" s="230" t="n">
        <f aca="false">VLOOKUP(B23,Unidades!$D$5:$G$27,4,)</f>
        <v>0.04</v>
      </c>
      <c r="D23" s="231" t="n">
        <f aca="false">'Base Curitiba'!AD25*12+'Base Curitiba'!AE25*4+'Base Curitiba'!AF25*2+'Base Curitiba'!AG25</f>
        <v>13438.7212239701</v>
      </c>
      <c r="E23" s="231" t="n">
        <f aca="false">'Base Curitiba'!AK25*12+'Base Curitiba'!AL25*4+'Base Curitiba'!AM25*2+'Base Curitiba'!AN25</f>
        <v>16780.9311923715</v>
      </c>
    </row>
    <row r="24" customFormat="false" ht="15" hidden="false" customHeight="true" outlineLevel="0" collapsed="false">
      <c r="B24" s="114" t="str">
        <f aca="false">'Base Curitiba'!B26</f>
        <v>APS UNIÃO DA VITÓRIA</v>
      </c>
      <c r="C24" s="230" t="n">
        <f aca="false">VLOOKUP(B24,Unidades!$D$5:$G$27,4,)</f>
        <v>0.025</v>
      </c>
      <c r="D24" s="231" t="n">
        <f aca="false">'Base Curitiba'!AD26*12+'Base Curitiba'!AE26*4+'Base Curitiba'!AF26*2+'Base Curitiba'!AG26</f>
        <v>20541.7184176882</v>
      </c>
      <c r="E24" s="231" t="n">
        <f aca="false">'Base Curitiba'!AK26*12+'Base Curitiba'!AL26*4+'Base Curitiba'!AM26*2+'Base Curitiba'!AN26</f>
        <v>25241.6635916553</v>
      </c>
    </row>
    <row r="25" customFormat="false" ht="15" hidden="false" customHeight="true" outlineLevel="0" collapsed="false">
      <c r="B25" s="114" t="str">
        <f aca="false">'Base Curitiba'!B27</f>
        <v>CEDOCPREV PONTA GROSSA</v>
      </c>
      <c r="C25" s="230" t="n">
        <f aca="false">VLOOKUP(B25,Unidades!$D$5:$G$27,4,)</f>
        <v>0.03</v>
      </c>
      <c r="D25" s="231" t="n">
        <f aca="false">'Base Curitiba'!AD27*12+'Base Curitiba'!AE27*4+'Base Curitiba'!AF27*2+'Base Curitiba'!AG27</f>
        <v>14740.8879700637</v>
      </c>
      <c r="E25" s="231" t="n">
        <f aca="false">'Base Curitiba'!AK27*12+'Base Curitiba'!AL27*4+'Base Curitiba'!AM27*2+'Base Curitiba'!AN27</f>
        <v>18210.8929982167</v>
      </c>
    </row>
    <row r="26" customFormat="false" ht="15" hidden="false" customHeight="true" outlineLevel="0" collapsed="false">
      <c r="B26" s="114" t="str">
        <f aca="false">'Base Curitiba'!B28</f>
        <v>GEX/APS PONTA GROSSA</v>
      </c>
      <c r="C26" s="230" t="n">
        <f aca="false">VLOOKUP(B26,Unidades!$D$5:$G$27,4,)</f>
        <v>0.03</v>
      </c>
      <c r="D26" s="231" t="n">
        <f aca="false">'Base Curitiba'!AD28*12+'Base Curitiba'!AE28*4+'Base Curitiba'!AF28*2+'Base Curitiba'!AG28</f>
        <v>21517.3085670016</v>
      </c>
      <c r="E26" s="231" t="n">
        <f aca="false">'Base Curitiba'!AK28*12+'Base Curitiba'!AL28*4+'Base Curitiba'!AM28*2+'Base Curitiba'!AN28</f>
        <v>26582.4830036738</v>
      </c>
    </row>
    <row r="27" customFormat="false" ht="15" hidden="false" customHeight="true" outlineLevel="0" collapsed="false">
      <c r="B27" s="114" t="str">
        <f aca="false">'Base Curitiba'!B29</f>
        <v>APS PORTO UNIÃO</v>
      </c>
      <c r="C27" s="230" t="n">
        <f aca="false">VLOOKUP(B27,Unidades!$D$5:$G$27,4,)</f>
        <v>0.025</v>
      </c>
      <c r="D27" s="231" t="n">
        <f aca="false">'Base Curitiba'!AD29*12+'Base Curitiba'!AE29*4+'Base Curitiba'!AF29*2+'Base Curitiba'!AG29</f>
        <v>17852.6563430315</v>
      </c>
      <c r="E27" s="231" t="n">
        <f aca="false">'Base Curitiba'!AK29*12+'Base Curitiba'!AL29*4+'Base Curitiba'!AM29*2+'Base Curitiba'!AN29</f>
        <v>21937.3441143171</v>
      </c>
    </row>
    <row r="28" customFormat="false" ht="13.5" hidden="false" customHeight="false" outlineLevel="0" collapsed="false">
      <c r="B28" s="227" t="s">
        <v>109</v>
      </c>
      <c r="C28" s="227"/>
      <c r="D28" s="236" t="n">
        <f aca="false">SUM(D5:D27)</f>
        <v>313863.047</v>
      </c>
      <c r="E28" s="236" t="n">
        <f aca="false">SUM(E5:E27)</f>
        <v>389830.540434027</v>
      </c>
    </row>
  </sheetData>
  <mergeCells count="2">
    <mergeCell ref="B2:M2"/>
    <mergeCell ref="B28:C2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35"/>
  <sheetViews>
    <sheetView showFormulas="false" showGridLines="false" showRowColHeaders="true" showZeros="true" rightToLeft="false" tabSelected="false" showOutlineSymbols="true" defaultGridColor="true" view="normal" topLeftCell="A36" colorId="64" zoomScale="110" zoomScaleNormal="110" zoomScalePageLayoutView="100" workbookViewId="0">
      <selection pane="topLeft" activeCell="B45" activeCellId="0" sqref="B45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6" width="33.4"/>
    <col collapsed="false" customWidth="true" hidden="false" outlineLevel="0" max="4" min="3" style="16" width="14.7"/>
    <col collapsed="false" customWidth="true" hidden="false" outlineLevel="0" max="5" min="5" style="16" width="15.6"/>
    <col collapsed="false" customWidth="true" hidden="false" outlineLevel="0" max="6" min="6" style="16" width="13.69"/>
    <col collapsed="false" customWidth="true" hidden="false" outlineLevel="0" max="7" min="7" style="16" width="14.9"/>
    <col collapsed="false" customWidth="true" hidden="false" outlineLevel="0" max="8" min="8" style="16" width="14.4"/>
    <col collapsed="false" customWidth="true" hidden="false" outlineLevel="0" max="9" min="9" style="17" width="14"/>
    <col collapsed="false" customWidth="true" hidden="false" outlineLevel="0" max="10" min="10" style="16" width="14.9"/>
    <col collapsed="false" customWidth="true" hidden="false" outlineLevel="0" max="249" min="11" style="16" width="10.6"/>
    <col collapsed="false" customWidth="true" hidden="false" outlineLevel="0" max="1024" min="1020" style="1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III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Curitiba'!C30</f>
        <v>46686.65</v>
      </c>
      <c r="D5" s="24" t="n">
        <f aca="false">'Base Curitiba'!AT10</f>
        <v>32485.8783695022</v>
      </c>
      <c r="E5" s="24" t="n">
        <f aca="false">D5*12</f>
        <v>389830.540434027</v>
      </c>
      <c r="F5" s="24" t="n">
        <f aca="false">'Base Curitiba'!AT12</f>
        <v>97457.6351085066</v>
      </c>
      <c r="G5" s="24" t="n">
        <f aca="false">F5*12</f>
        <v>1169491.62130208</v>
      </c>
      <c r="H5" s="24" t="n">
        <f aca="false">D5+F5</f>
        <v>129943.513478009</v>
      </c>
      <c r="I5" s="24" t="n">
        <f aca="false">H5*12</f>
        <v>1559322.16173611</v>
      </c>
    </row>
    <row r="6" customFormat="false" ht="19.5" hidden="false" customHeight="true" outlineLevel="0" collapsed="false">
      <c r="B6" s="25" t="str">
        <f aca="false">"TOTAL "&amp;'Valor da Contratação'!B7&amp;""</f>
        <v>TOTAL POLO III</v>
      </c>
      <c r="C6" s="26" t="n">
        <f aca="false">SUM(C5:C5)</f>
        <v>46686.65</v>
      </c>
      <c r="D6" s="27" t="n">
        <f aca="false">SUM(D5:D5)</f>
        <v>32485.8783695022</v>
      </c>
      <c r="E6" s="27" t="n">
        <f aca="false">SUM(E5:E5)</f>
        <v>389830.540434027</v>
      </c>
      <c r="F6" s="27" t="n">
        <f aca="false">SUM(F5:F5)</f>
        <v>97457.6351085066</v>
      </c>
      <c r="G6" s="27" t="n">
        <f aca="false">SUM(G5:G5)</f>
        <v>1169491.62130208</v>
      </c>
      <c r="H6" s="27" t="n">
        <f aca="false">SUM(H5:H5)</f>
        <v>129943.513478009</v>
      </c>
      <c r="I6" s="27" t="n">
        <f aca="false">SUM(I5:I5)</f>
        <v>1559322.16173611</v>
      </c>
    </row>
    <row r="7" customFormat="false" ht="24.75" hidden="false" customHeight="true" outlineLevel="0" collapsed="false">
      <c r="B7" s="2"/>
      <c r="C7" s="2"/>
      <c r="D7" s="2"/>
      <c r="E7" s="2"/>
      <c r="F7" s="2"/>
      <c r="G7" s="28"/>
      <c r="H7" s="2"/>
      <c r="I7" s="20"/>
    </row>
    <row r="8" s="29" customFormat="true" ht="27" hidden="false" customHeight="true" outlineLevel="0" collapsed="false">
      <c r="B8" s="30" t="str">
        <f aca="false">"BASE "&amp;B5</f>
        <v>BASE CURITIBA</v>
      </c>
      <c r="C8" s="31" t="s">
        <v>22</v>
      </c>
      <c r="D8" s="31"/>
      <c r="E8" s="31"/>
      <c r="F8" s="31" t="s">
        <v>23</v>
      </c>
      <c r="G8" s="31"/>
      <c r="H8" s="31"/>
      <c r="I8" s="32" t="s">
        <v>24</v>
      </c>
      <c r="IP8" s="33"/>
    </row>
    <row r="9" s="29" customFormat="true" ht="22.5" hidden="false" customHeight="true" outlineLevel="0" collapsed="false">
      <c r="B9" s="30"/>
      <c r="C9" s="34" t="s">
        <v>25</v>
      </c>
      <c r="D9" s="34" t="s">
        <v>26</v>
      </c>
      <c r="E9" s="34" t="s">
        <v>27</v>
      </c>
      <c r="F9" s="35" t="s">
        <v>25</v>
      </c>
      <c r="G9" s="35" t="s">
        <v>26</v>
      </c>
      <c r="H9" s="35" t="s">
        <v>27</v>
      </c>
      <c r="I9" s="35" t="s">
        <v>28</v>
      </c>
      <c r="IP9" s="33"/>
    </row>
    <row r="10" customFormat="false" ht="16.5" hidden="false" customHeight="true" outlineLevel="0" collapsed="false">
      <c r="B10" s="22" t="str">
        <f aca="false">'Base Curitiba'!B7</f>
        <v>APS ARAUCÁRIA</v>
      </c>
      <c r="C10" s="24" t="n">
        <f aca="false">'Base Curitiba'!AO7</f>
        <v>1061.37281756166</v>
      </c>
      <c r="D10" s="24" t="n">
        <f aca="false">C10*3</f>
        <v>3184.11845268497</v>
      </c>
      <c r="E10" s="24" t="n">
        <f aca="false">C10+D10</f>
        <v>4245.49127024663</v>
      </c>
      <c r="F10" s="24" t="n">
        <f aca="false">C10*12</f>
        <v>12736.4738107399</v>
      </c>
      <c r="G10" s="24" t="n">
        <f aca="false">F10*3</f>
        <v>38209.4214322196</v>
      </c>
      <c r="H10" s="24" t="n">
        <f aca="false">F10+G10</f>
        <v>50945.8952429595</v>
      </c>
      <c r="I10" s="36" t="n">
        <f aca="false">F10/$E$6</f>
        <v>0.0326718214446704</v>
      </c>
    </row>
    <row r="11" customFormat="false" ht="16.5" hidden="false" customHeight="true" outlineLevel="0" collapsed="false">
      <c r="B11" s="22" t="str">
        <f aca="false">'Base Curitiba'!B8</f>
        <v>APS CAMPO LARGO</v>
      </c>
      <c r="C11" s="24" t="n">
        <f aca="false">'Base Curitiba'!AO8</f>
        <v>1063.49586320772</v>
      </c>
      <c r="D11" s="24" t="n">
        <f aca="false">C11*3</f>
        <v>3190.48758962317</v>
      </c>
      <c r="E11" s="24" t="n">
        <f aca="false">C11+D11</f>
        <v>4253.98345283089</v>
      </c>
      <c r="F11" s="24" t="n">
        <f aca="false">C11*12</f>
        <v>12761.9503584927</v>
      </c>
      <c r="G11" s="24" t="n">
        <f aca="false">F11*3</f>
        <v>38285.851075478</v>
      </c>
      <c r="H11" s="24" t="n">
        <f aca="false">F11+G11</f>
        <v>51047.8014339707</v>
      </c>
      <c r="I11" s="36" t="n">
        <f aca="false">F11/$E$6</f>
        <v>0.0327371743226785</v>
      </c>
    </row>
    <row r="12" customFormat="false" ht="16.5" hidden="false" customHeight="true" outlineLevel="0" collapsed="false">
      <c r="B12" s="22" t="str">
        <f aca="false">'Base Curitiba'!B9</f>
        <v>APS COLOMBO</v>
      </c>
      <c r="C12" s="24" t="n">
        <f aca="false">'Base Curitiba'!AO9</f>
        <v>966.842480421556</v>
      </c>
      <c r="D12" s="24" t="n">
        <f aca="false">C12*3</f>
        <v>2900.52744126467</v>
      </c>
      <c r="E12" s="24" t="n">
        <f aca="false">C12+D12</f>
        <v>3867.36992168622</v>
      </c>
      <c r="F12" s="24" t="n">
        <f aca="false">C12*12</f>
        <v>11602.1097650587</v>
      </c>
      <c r="G12" s="24" t="n">
        <f aca="false">F12*3</f>
        <v>34806.329295176</v>
      </c>
      <c r="H12" s="24" t="n">
        <f aca="false">F12+G12</f>
        <v>46408.4390602347</v>
      </c>
      <c r="I12" s="36" t="n">
        <f aca="false">F12/$E$6</f>
        <v>0.02976193130518</v>
      </c>
    </row>
    <row r="13" customFormat="false" ht="16.5" hidden="false" customHeight="true" outlineLevel="0" collapsed="false">
      <c r="B13" s="22" t="str">
        <f aca="false">'Base Curitiba'!B10</f>
        <v>APS CURITIBA-CÂNDIDO LOPES</v>
      </c>
      <c r="C13" s="24" t="n">
        <f aca="false">'Base Curitiba'!AO10</f>
        <v>2024.78488044857</v>
      </c>
      <c r="D13" s="24" t="n">
        <f aca="false">C13*3</f>
        <v>6074.35464134572</v>
      </c>
      <c r="E13" s="24" t="n">
        <f aca="false">C13+D13</f>
        <v>8099.13952179429</v>
      </c>
      <c r="F13" s="24" t="n">
        <f aca="false">C13*12</f>
        <v>24297.4185653829</v>
      </c>
      <c r="G13" s="24" t="n">
        <f aca="false">F13*3</f>
        <v>72892.2556961486</v>
      </c>
      <c r="H13" s="24" t="n">
        <f aca="false">F13+G13</f>
        <v>97189.6742615314</v>
      </c>
      <c r="I13" s="36" t="n">
        <f aca="false">F13/$E$6</f>
        <v>0.062328155557876</v>
      </c>
    </row>
    <row r="14" customFormat="false" ht="16.5" hidden="false" customHeight="true" outlineLevel="0" collapsed="false">
      <c r="B14" s="22" t="str">
        <f aca="false">'Base Curitiba'!B11</f>
        <v>APS CURITIBA-HAUER</v>
      </c>
      <c r="C14" s="24" t="n">
        <f aca="false">'Base Curitiba'!AO11</f>
        <v>1204.18277221554</v>
      </c>
      <c r="D14" s="24" t="n">
        <f aca="false">C14*3</f>
        <v>3612.54831664662</v>
      </c>
      <c r="E14" s="24" t="n">
        <f aca="false">C14+D14</f>
        <v>4816.73108886217</v>
      </c>
      <c r="F14" s="24" t="n">
        <f aca="false">C14*12</f>
        <v>14450.1932665865</v>
      </c>
      <c r="G14" s="24" t="n">
        <f aca="false">F14*3</f>
        <v>43350.5797997595</v>
      </c>
      <c r="H14" s="24" t="n">
        <f aca="false">F14+G14</f>
        <v>57800.773066346</v>
      </c>
      <c r="I14" s="36" t="n">
        <f aca="false">F14/$E$6</f>
        <v>0.0370678840362226</v>
      </c>
    </row>
    <row r="15" customFormat="false" ht="16.5" hidden="false" customHeight="true" outlineLevel="0" collapsed="false">
      <c r="B15" s="22" t="str">
        <f aca="false">'Base Curitiba'!B12</f>
        <v>APS CURITIBA-VISC. DE GUARAPUAVA</v>
      </c>
      <c r="C15" s="24" t="n">
        <f aca="false">'Base Curitiba'!AO12</f>
        <v>2024.78488044857</v>
      </c>
      <c r="D15" s="24" t="n">
        <f aca="false">C15*3</f>
        <v>6074.35464134572</v>
      </c>
      <c r="E15" s="24" t="n">
        <f aca="false">C15+D15</f>
        <v>8099.13952179429</v>
      </c>
      <c r="F15" s="24" t="n">
        <f aca="false">C15*12</f>
        <v>24297.4185653829</v>
      </c>
      <c r="G15" s="24" t="n">
        <f aca="false">F15*3</f>
        <v>72892.2556961486</v>
      </c>
      <c r="H15" s="24" t="n">
        <f aca="false">F15+G15</f>
        <v>97189.6742615314</v>
      </c>
      <c r="I15" s="36" t="n">
        <f aca="false">F15/$E$6</f>
        <v>0.062328155557876</v>
      </c>
    </row>
    <row r="16" customFormat="false" ht="16.5" hidden="false" customHeight="true" outlineLevel="0" collapsed="false">
      <c r="B16" s="22" t="str">
        <f aca="false">'Base Curitiba'!B13</f>
        <v>APS FAZENDA RIO GRANDE</v>
      </c>
      <c r="C16" s="24" t="n">
        <f aca="false">'Base Curitiba'!AO13</f>
        <v>959.825256121556</v>
      </c>
      <c r="D16" s="24" t="n">
        <f aca="false">C16*3</f>
        <v>2879.47576836467</v>
      </c>
      <c r="E16" s="24" t="n">
        <f aca="false">C16+D16</f>
        <v>3839.30102448622</v>
      </c>
      <c r="F16" s="24" t="n">
        <f aca="false">C16*12</f>
        <v>11517.9030734587</v>
      </c>
      <c r="G16" s="24" t="n">
        <f aca="false">F16*3</f>
        <v>34553.709220376</v>
      </c>
      <c r="H16" s="24" t="n">
        <f aca="false">F16+G16</f>
        <v>46071.6122938347</v>
      </c>
      <c r="I16" s="36" t="n">
        <f aca="false">F16/$E$6</f>
        <v>0.0295459228531324</v>
      </c>
    </row>
    <row r="17" customFormat="false" ht="16.5" hidden="false" customHeight="true" outlineLevel="0" collapsed="false">
      <c r="B17" s="22" t="str">
        <f aca="false">'Base Curitiba'!B14</f>
        <v>APS ITAPERUÇU</v>
      </c>
      <c r="C17" s="24" t="n">
        <f aca="false">'Base Curitiba'!AO14</f>
        <v>971.98399733454</v>
      </c>
      <c r="D17" s="24" t="n">
        <f aca="false">C17*3</f>
        <v>2915.95199200362</v>
      </c>
      <c r="E17" s="24" t="n">
        <f aca="false">C17+D17</f>
        <v>3887.93598933816</v>
      </c>
      <c r="F17" s="24" t="n">
        <f aca="false">C17*12</f>
        <v>11663.8079680145</v>
      </c>
      <c r="G17" s="24" t="n">
        <f aca="false">F17*3</f>
        <v>34991.4239040434</v>
      </c>
      <c r="H17" s="24" t="n">
        <f aca="false">F17+G17</f>
        <v>46655.2318720579</v>
      </c>
      <c r="I17" s="36" t="n">
        <f aca="false">F17/$E$6</f>
        <v>0.029920200595439</v>
      </c>
    </row>
    <row r="18" customFormat="false" ht="16.5" hidden="false" customHeight="true" outlineLevel="0" collapsed="false">
      <c r="B18" s="22" t="str">
        <f aca="false">'Base Curitiba'!B15</f>
        <v>APS LAPA</v>
      </c>
      <c r="C18" s="24" t="n">
        <f aca="false">'Base Curitiba'!AO15</f>
        <v>1027.65842435489</v>
      </c>
      <c r="D18" s="24" t="n">
        <f aca="false">C18*3</f>
        <v>3082.97527306467</v>
      </c>
      <c r="E18" s="24" t="n">
        <f aca="false">C18+D18</f>
        <v>4110.63369741956</v>
      </c>
      <c r="F18" s="24" t="n">
        <f aca="false">C18*12</f>
        <v>12331.9010922587</v>
      </c>
      <c r="G18" s="24" t="n">
        <f aca="false">F18*3</f>
        <v>36995.703276776</v>
      </c>
      <c r="H18" s="24" t="n">
        <f aca="false">F18+G18</f>
        <v>49327.6043690347</v>
      </c>
      <c r="I18" s="36" t="n">
        <f aca="false">F18/$E$6</f>
        <v>0.0316340045562584</v>
      </c>
    </row>
    <row r="19" customFormat="false" ht="16.5" hidden="false" customHeight="true" outlineLevel="0" collapsed="false">
      <c r="B19" s="22" t="str">
        <f aca="false">'Base Curitiba'!B16</f>
        <v>APS MANDIRITUBA</v>
      </c>
      <c r="C19" s="24" t="n">
        <f aca="false">'Base Curitiba'!AO16</f>
        <v>959.825256121556</v>
      </c>
      <c r="D19" s="24" t="n">
        <f aca="false">C19*3</f>
        <v>2879.47576836467</v>
      </c>
      <c r="E19" s="24" t="n">
        <f aca="false">C19+D19</f>
        <v>3839.30102448622</v>
      </c>
      <c r="F19" s="24" t="n">
        <f aca="false">C19*12</f>
        <v>11517.9030734587</v>
      </c>
      <c r="G19" s="24" t="n">
        <f aca="false">F19*3</f>
        <v>34553.709220376</v>
      </c>
      <c r="H19" s="24" t="n">
        <f aca="false">F19+G19</f>
        <v>46071.6122938347</v>
      </c>
      <c r="I19" s="36" t="n">
        <f aca="false">F19/$E$6</f>
        <v>0.0295459228531324</v>
      </c>
    </row>
    <row r="20" customFormat="false" ht="16.5" hidden="false" customHeight="true" outlineLevel="0" collapsed="false">
      <c r="B20" s="22" t="str">
        <f aca="false">'Base Curitiba'!B17</f>
        <v>APS PARANAGUÁ</v>
      </c>
      <c r="C20" s="24" t="n">
        <f aca="false">'Base Curitiba'!AO17</f>
        <v>1712.63845145144</v>
      </c>
      <c r="D20" s="24" t="n">
        <f aca="false">C20*3</f>
        <v>5137.91535435432</v>
      </c>
      <c r="E20" s="24" t="n">
        <f aca="false">C20+D20</f>
        <v>6850.55380580576</v>
      </c>
      <c r="F20" s="24" t="n">
        <f aca="false">C20*12</f>
        <v>20551.6614174173</v>
      </c>
      <c r="G20" s="24" t="n">
        <f aca="false">F20*3</f>
        <v>61654.9842522518</v>
      </c>
      <c r="H20" s="24" t="n">
        <f aca="false">F20+G20</f>
        <v>82206.6456696691</v>
      </c>
      <c r="I20" s="36" t="n">
        <f aca="false">F20/$E$6</f>
        <v>0.05271947496606</v>
      </c>
    </row>
    <row r="21" customFormat="false" ht="16.5" hidden="false" customHeight="true" outlineLevel="0" collapsed="false">
      <c r="B21" s="22" t="str">
        <f aca="false">'Base Curitiba'!B18</f>
        <v>APS PINHAIS</v>
      </c>
      <c r="C21" s="24" t="n">
        <f aca="false">'Base Curitiba'!AO18</f>
        <v>1100.25107600072</v>
      </c>
      <c r="D21" s="24" t="n">
        <f aca="false">C21*3</f>
        <v>3300.75322800217</v>
      </c>
      <c r="E21" s="24" t="n">
        <f aca="false">C21+D21</f>
        <v>4401.00430400289</v>
      </c>
      <c r="F21" s="24" t="n">
        <f aca="false">C21*12</f>
        <v>13203.0129120087</v>
      </c>
      <c r="G21" s="24" t="n">
        <f aca="false">F21*3</f>
        <v>39609.038736026</v>
      </c>
      <c r="H21" s="24" t="n">
        <f aca="false">F21+G21</f>
        <v>52812.0516480347</v>
      </c>
      <c r="I21" s="36" t="n">
        <f aca="false">F21/$E$6</f>
        <v>0.0338685955628536</v>
      </c>
    </row>
    <row r="22" customFormat="false" ht="16.5" hidden="false" customHeight="true" outlineLevel="0" collapsed="false">
      <c r="B22" s="22" t="str">
        <f aca="false">'Base Curitiba'!B19</f>
        <v>APS SÃO JOSÉ DOS PINHAIS</v>
      </c>
      <c r="C22" s="24" t="n">
        <f aca="false">'Base Curitiba'!AO19</f>
        <v>923.671487961656</v>
      </c>
      <c r="D22" s="24" t="n">
        <f aca="false">C22*3</f>
        <v>2771.01446388497</v>
      </c>
      <c r="E22" s="24" t="n">
        <f aca="false">C22+D22</f>
        <v>3694.68595184662</v>
      </c>
      <c r="F22" s="24" t="n">
        <f aca="false">C22*12</f>
        <v>11084.0578555399</v>
      </c>
      <c r="G22" s="24" t="n">
        <f aca="false">F22*3</f>
        <v>33252.1735666196</v>
      </c>
      <c r="H22" s="24" t="n">
        <f aca="false">F22+G22</f>
        <v>44336.2314221595</v>
      </c>
      <c r="I22" s="36" t="n">
        <f aca="false">F22/$E$6</f>
        <v>0.0284330156462323</v>
      </c>
    </row>
    <row r="23" customFormat="false" ht="16.5" hidden="false" customHeight="true" outlineLevel="0" collapsed="false">
      <c r="B23" s="22" t="str">
        <f aca="false">'Base Curitiba'!B20</f>
        <v>CEDOCPREV CURITIBA</v>
      </c>
      <c r="C23" s="24" t="n">
        <f aca="false">'Base Curitiba'!AO20</f>
        <v>1225.92508741554</v>
      </c>
      <c r="D23" s="24" t="n">
        <f aca="false">C23*3</f>
        <v>3677.77526224663</v>
      </c>
      <c r="E23" s="24" t="n">
        <f aca="false">C23+D23</f>
        <v>4903.70034966217</v>
      </c>
      <c r="F23" s="24" t="n">
        <f aca="false">C23*12</f>
        <v>14711.1010489865</v>
      </c>
      <c r="G23" s="24" t="n">
        <f aca="false">F23*3</f>
        <v>44133.3031469595</v>
      </c>
      <c r="H23" s="24" t="n">
        <f aca="false">F23+G23</f>
        <v>58844.404195946</v>
      </c>
      <c r="I23" s="36" t="n">
        <f aca="false">F23/$E$6</f>
        <v>0.0377371691622918</v>
      </c>
    </row>
    <row r="24" customFormat="false" ht="16.5" hidden="false" customHeight="true" outlineLevel="0" collapsed="false">
      <c r="B24" s="22" t="str">
        <f aca="false">'Base Curitiba'!B21</f>
        <v>GEX CURITIBA / APS DIGITAL</v>
      </c>
      <c r="C24" s="24" t="n">
        <f aca="false">'Base Curitiba'!AO21</f>
        <v>1850.53712895847</v>
      </c>
      <c r="D24" s="24" t="n">
        <f aca="false">C24*3</f>
        <v>5551.6113868754</v>
      </c>
      <c r="E24" s="24" t="n">
        <f aca="false">C24+D24</f>
        <v>7402.14851583387</v>
      </c>
      <c r="F24" s="24" t="n">
        <f aca="false">C24*12</f>
        <v>22206.4455475016</v>
      </c>
      <c r="G24" s="24" t="n">
        <f aca="false">F24*3</f>
        <v>66619.3366425048</v>
      </c>
      <c r="H24" s="24" t="n">
        <f aca="false">F24+G24</f>
        <v>88825.7821900064</v>
      </c>
      <c r="I24" s="36" t="n">
        <f aca="false">F24/$E$6</f>
        <v>0.0569643556473989</v>
      </c>
    </row>
    <row r="25" customFormat="false" ht="16.5" hidden="false" customHeight="true" outlineLevel="0" collapsed="false">
      <c r="B25" s="22" t="str">
        <f aca="false">'Base Curitiba'!B22</f>
        <v>APS CASTRO</v>
      </c>
      <c r="C25" s="24" t="n">
        <f aca="false">'Base Curitiba'!AO22</f>
        <v>1623.79829874067</v>
      </c>
      <c r="D25" s="24" t="n">
        <f aca="false">C25*3</f>
        <v>4871.39489622202</v>
      </c>
      <c r="E25" s="24" t="n">
        <f aca="false">C25+D25</f>
        <v>6495.19319496269</v>
      </c>
      <c r="F25" s="24" t="n">
        <f aca="false">C25*12</f>
        <v>19485.5795848881</v>
      </c>
      <c r="G25" s="24" t="n">
        <f aca="false">F25*3</f>
        <v>58456.7387546642</v>
      </c>
      <c r="H25" s="24" t="n">
        <f aca="false">F25+G25</f>
        <v>77942.3183395523</v>
      </c>
      <c r="I25" s="36" t="n">
        <f aca="false">F25/$E$6</f>
        <v>0.0499847435329037</v>
      </c>
    </row>
    <row r="26" customFormat="false" ht="16.5" hidden="false" customHeight="true" outlineLevel="0" collapsed="false">
      <c r="B26" s="22" t="str">
        <f aca="false">'Base Curitiba'!B23</f>
        <v>APS IRATI</v>
      </c>
      <c r="C26" s="24" t="n">
        <f aca="false">'Base Curitiba'!AO23</f>
        <v>1658.02810584363</v>
      </c>
      <c r="D26" s="24" t="n">
        <f aca="false">C26*3</f>
        <v>4974.0843175309</v>
      </c>
      <c r="E26" s="24" t="n">
        <f aca="false">C26+D26</f>
        <v>6632.11242337453</v>
      </c>
      <c r="F26" s="24" t="n">
        <f aca="false">C26*12</f>
        <v>19896.3372701236</v>
      </c>
      <c r="G26" s="24" t="n">
        <f aca="false">F26*3</f>
        <v>59689.0118103707</v>
      </c>
      <c r="H26" s="24" t="n">
        <f aca="false">F26+G26</f>
        <v>79585.3490804943</v>
      </c>
      <c r="I26" s="36" t="n">
        <f aca="false">F26/$E$6</f>
        <v>0.0510384262042978</v>
      </c>
    </row>
    <row r="27" customFormat="false" ht="16.5" hidden="false" customHeight="true" outlineLevel="0" collapsed="false">
      <c r="B27" s="22" t="str">
        <f aca="false">'Base Curitiba'!B24</f>
        <v>APS PALMEIRA</v>
      </c>
      <c r="C27" s="24" t="n">
        <f aca="false">'Base Curitiba'!AO24</f>
        <v>1063.49586320772</v>
      </c>
      <c r="D27" s="24" t="n">
        <f aca="false">C27*3</f>
        <v>3190.48758962317</v>
      </c>
      <c r="E27" s="24" t="n">
        <f aca="false">C27+D27</f>
        <v>4253.98345283089</v>
      </c>
      <c r="F27" s="24" t="n">
        <f aca="false">C27*12</f>
        <v>12761.9503584927</v>
      </c>
      <c r="G27" s="24" t="n">
        <f aca="false">F27*3</f>
        <v>38285.851075478</v>
      </c>
      <c r="H27" s="24" t="n">
        <f aca="false">F27+G27</f>
        <v>51047.8014339707</v>
      </c>
      <c r="I27" s="36" t="n">
        <f aca="false">F27/$E$6</f>
        <v>0.0327371743226785</v>
      </c>
    </row>
    <row r="28" customFormat="false" ht="16.5" hidden="false" customHeight="true" outlineLevel="0" collapsed="false">
      <c r="B28" s="22" t="str">
        <f aca="false">'Base Curitiba'!B25</f>
        <v>APS SÃO MATEUS DO SUL</v>
      </c>
      <c r="C28" s="24" t="n">
        <f aca="false">'Base Curitiba'!AO25</f>
        <v>1398.41093269762</v>
      </c>
      <c r="D28" s="24" t="n">
        <f aca="false">C28*3</f>
        <v>4195.23279809287</v>
      </c>
      <c r="E28" s="24" t="n">
        <f aca="false">C28+D28</f>
        <v>5593.64373079049</v>
      </c>
      <c r="F28" s="24" t="n">
        <f aca="false">C28*12</f>
        <v>16780.9311923715</v>
      </c>
      <c r="G28" s="24" t="n">
        <f aca="false">F28*3</f>
        <v>50342.7935771144</v>
      </c>
      <c r="H28" s="24" t="n">
        <f aca="false">F28+G28</f>
        <v>67123.7247694859</v>
      </c>
      <c r="I28" s="36" t="n">
        <f aca="false">F28/$E$6</f>
        <v>0.0430467330078553</v>
      </c>
    </row>
    <row r="29" customFormat="false" ht="16.5" hidden="false" customHeight="true" outlineLevel="0" collapsed="false">
      <c r="B29" s="22" t="str">
        <f aca="false">'Base Curitiba'!B26</f>
        <v>APS UNIÃO DA VITÓRIA</v>
      </c>
      <c r="C29" s="24" t="n">
        <f aca="false">'Base Curitiba'!AO26</f>
        <v>2103.47196597127</v>
      </c>
      <c r="D29" s="24" t="n">
        <f aca="false">C29*3</f>
        <v>6310.41589791382</v>
      </c>
      <c r="E29" s="24" t="n">
        <f aca="false">C29+D29</f>
        <v>8413.8878638851</v>
      </c>
      <c r="F29" s="24" t="n">
        <f aca="false">C29*12</f>
        <v>25241.6635916553</v>
      </c>
      <c r="G29" s="24" t="n">
        <f aca="false">F29*3</f>
        <v>75724.9907749659</v>
      </c>
      <c r="H29" s="24" t="n">
        <f aca="false">F29+G29</f>
        <v>100966.654366621</v>
      </c>
      <c r="I29" s="36" t="n">
        <f aca="false">F29/$E$6</f>
        <v>0.0647503491223441</v>
      </c>
    </row>
    <row r="30" customFormat="false" ht="16.5" hidden="false" customHeight="true" outlineLevel="0" collapsed="false">
      <c r="B30" s="22" t="str">
        <f aca="false">'Base Curitiba'!B27</f>
        <v>CEDOCPREV PONTA GROSSA</v>
      </c>
      <c r="C30" s="24" t="n">
        <f aca="false">'Base Curitiba'!AO27</f>
        <v>1517.57441651805</v>
      </c>
      <c r="D30" s="24" t="n">
        <f aca="false">C30*3</f>
        <v>4552.72324955416</v>
      </c>
      <c r="E30" s="24" t="n">
        <f aca="false">C30+D30</f>
        <v>6070.29766607222</v>
      </c>
      <c r="F30" s="24" t="n">
        <f aca="false">C30*12</f>
        <v>18210.8929982167</v>
      </c>
      <c r="G30" s="24" t="n">
        <f aca="false">F30*3</f>
        <v>54632.67899465</v>
      </c>
      <c r="H30" s="24" t="n">
        <f aca="false">F30+G30</f>
        <v>72843.5719928666</v>
      </c>
      <c r="I30" s="36" t="n">
        <f aca="false">F30/$E$6</f>
        <v>0.0467148956003836</v>
      </c>
    </row>
    <row r="31" customFormat="false" ht="16.5" hidden="false" customHeight="true" outlineLevel="0" collapsed="false">
      <c r="B31" s="22" t="str">
        <f aca="false">'Base Curitiba'!B28</f>
        <v>GEX/APS PONTA GROSSA</v>
      </c>
      <c r="C31" s="24" t="n">
        <f aca="false">'Base Curitiba'!AO28</f>
        <v>2215.20691697282</v>
      </c>
      <c r="D31" s="24" t="n">
        <f aca="false">C31*3</f>
        <v>6645.62075091845</v>
      </c>
      <c r="E31" s="24" t="n">
        <f aca="false">C31+D31</f>
        <v>8860.82766789127</v>
      </c>
      <c r="F31" s="24" t="n">
        <f aca="false">C31*12</f>
        <v>26582.4830036738</v>
      </c>
      <c r="G31" s="24" t="n">
        <f aca="false">F31*3</f>
        <v>79747.4490110214</v>
      </c>
      <c r="H31" s="24" t="n">
        <f aca="false">F31+G31</f>
        <v>106329.932014695</v>
      </c>
      <c r="I31" s="36" t="n">
        <f aca="false">F31/$E$6</f>
        <v>0.0681898421146727</v>
      </c>
    </row>
    <row r="32" customFormat="false" ht="16.5" hidden="false" customHeight="true" outlineLevel="0" collapsed="false">
      <c r="B32" s="22" t="str">
        <f aca="false">'Base Curitiba'!B29</f>
        <v>APS PORTO UNIÃO</v>
      </c>
      <c r="C32" s="24" t="n">
        <f aca="false">'Base Curitiba'!AO29</f>
        <v>1828.11200952643</v>
      </c>
      <c r="D32" s="24" t="n">
        <f aca="false">C32*3</f>
        <v>5484.33602857928</v>
      </c>
      <c r="E32" s="24" t="n">
        <f aca="false">C32+D32</f>
        <v>7312.44803810571</v>
      </c>
      <c r="F32" s="24" t="n">
        <f aca="false">C32*12</f>
        <v>21937.3441143171</v>
      </c>
      <c r="G32" s="24" t="n">
        <f aca="false">F32*3</f>
        <v>65812.0323429514</v>
      </c>
      <c r="H32" s="24" t="n">
        <f aca="false">F32+G32</f>
        <v>87749.3764572685</v>
      </c>
      <c r="I32" s="36" t="n">
        <f aca="false">F32/$E$6</f>
        <v>0.0562740520275623</v>
      </c>
    </row>
    <row r="33" customFormat="false" ht="22.5" hidden="false" customHeight="true" outlineLevel="0" collapsed="false">
      <c r="B33" s="37" t="str">
        <f aca="false">"Total Base "&amp;B5</f>
        <v>Total Base CURITIBA</v>
      </c>
      <c r="C33" s="37" t="n">
        <f aca="false">SUM(C10:C32)</f>
        <v>32485.8783695022</v>
      </c>
      <c r="D33" s="37" t="n">
        <f aca="false">SUM(D10:D32)</f>
        <v>97457.6351085066</v>
      </c>
      <c r="E33" s="37" t="n">
        <f aca="false">SUM(E10:E32)</f>
        <v>129943.513478009</v>
      </c>
      <c r="F33" s="37" t="n">
        <f aca="false">SUM(F10:F32)</f>
        <v>389830.540434027</v>
      </c>
      <c r="G33" s="37" t="n">
        <f aca="false">SUM(G10:G32)</f>
        <v>1169491.62130208</v>
      </c>
      <c r="H33" s="37" t="n">
        <f aca="false">SUM(H10:H32)</f>
        <v>1559322.16173611</v>
      </c>
      <c r="I33" s="38" t="n">
        <f aca="false">SUM(I10:I32)</f>
        <v>1</v>
      </c>
    </row>
    <row r="34" customFormat="false" ht="22.5" hidden="false" customHeight="true" outlineLevel="0" collapsed="false">
      <c r="B34" s="39"/>
      <c r="C34" s="39"/>
      <c r="D34" s="39"/>
      <c r="E34" s="39"/>
      <c r="F34" s="39"/>
      <c r="G34" s="39"/>
      <c r="H34" s="39"/>
      <c r="I34" s="40"/>
    </row>
    <row r="35" customFormat="false" ht="22.5" hidden="false" customHeight="true" outlineLevel="0" collapsed="false">
      <c r="B35" s="41"/>
      <c r="C35" s="39"/>
      <c r="D35" s="39"/>
      <c r="E35" s="39"/>
      <c r="F35" s="39"/>
      <c r="G35" s="39"/>
      <c r="H35" s="39"/>
      <c r="I35" s="40"/>
    </row>
  </sheetData>
  <mergeCells count="4">
    <mergeCell ref="B2:I2"/>
    <mergeCell ref="B8:B9"/>
    <mergeCell ref="C8:E8"/>
    <mergeCell ref="F8:H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7" activeCellId="0" sqref="E7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" width="21.6"/>
    <col collapsed="false" customWidth="true" hidden="false" outlineLevel="0" max="5" min="3" style="2" width="14.6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2" t="str">
        <f aca="false">"CÁLCULO DO CUSTO DA EQUIPE TÉCNICA PARA O "&amp;'Valor da Contratação'!B7&amp;""</f>
        <v>CÁLCULO DO CUSTO DA EQUIPE TÉCNICA PARA O POLO III</v>
      </c>
      <c r="C2" s="42"/>
      <c r="D2" s="42"/>
      <c r="E2" s="42"/>
    </row>
    <row r="3" customFormat="false" ht="15" hidden="false" customHeight="true" outlineLevel="0" collapsed="false">
      <c r="B3" s="43"/>
      <c r="C3" s="43"/>
      <c r="D3" s="43"/>
      <c r="E3" s="43"/>
    </row>
    <row r="4" customFormat="false" ht="45.75" hidden="false" customHeight="true" outlineLevel="0" collapsed="false">
      <c r="B4" s="44" t="s">
        <v>29</v>
      </c>
      <c r="C4" s="45" t="s">
        <v>30</v>
      </c>
      <c r="D4" s="45" t="s">
        <v>31</v>
      </c>
      <c r="E4" s="45" t="s">
        <v>32</v>
      </c>
    </row>
    <row r="5" customFormat="false" ht="19.5" hidden="false" customHeight="true" outlineLevel="0" collapsed="false">
      <c r="B5" s="44"/>
      <c r="C5" s="46" t="n">
        <v>127.29</v>
      </c>
      <c r="D5" s="46" t="n">
        <f aca="false">'Comp. Eng. Eletricista'!D11</f>
        <v>127.8325</v>
      </c>
      <c r="E5" s="46" t="n">
        <v>41.41</v>
      </c>
    </row>
    <row r="6" customFormat="false" ht="19.5" hidden="false" customHeight="true" outlineLevel="0" collapsed="false">
      <c r="B6" s="47" t="s">
        <v>33</v>
      </c>
      <c r="C6" s="48" t="n">
        <v>80</v>
      </c>
      <c r="D6" s="48" t="n">
        <v>16</v>
      </c>
      <c r="E6" s="48" t="n">
        <v>80</v>
      </c>
    </row>
    <row r="7" customFormat="false" ht="19.5" hidden="false" customHeight="true" outlineLevel="0" collapsed="false">
      <c r="B7" s="47" t="s">
        <v>34</v>
      </c>
      <c r="C7" s="46" t="n">
        <f aca="false">C5*C6</f>
        <v>10183.2</v>
      </c>
      <c r="D7" s="46" t="n">
        <f aca="false">D5*D6</f>
        <v>2045.32</v>
      </c>
      <c r="E7" s="46" t="n">
        <f aca="false">E5*E6</f>
        <v>3312.8</v>
      </c>
    </row>
    <row r="8" customFormat="false" ht="19.5" hidden="false" customHeight="true" outlineLevel="0" collapsed="false">
      <c r="B8" s="47" t="s">
        <v>35</v>
      </c>
      <c r="C8" s="46" t="n">
        <f aca="false">C5*C6*12</f>
        <v>122198.4</v>
      </c>
      <c r="D8" s="46" t="n">
        <f aca="false">D5*D6*12</f>
        <v>24543.84</v>
      </c>
      <c r="E8" s="46" t="n">
        <f aca="false">E5*E6*12</f>
        <v>39753.6</v>
      </c>
    </row>
    <row r="9" customFormat="false" ht="19.5" hidden="false" customHeight="true" outlineLevel="0" collapsed="false">
      <c r="B9" s="49" t="s">
        <v>36</v>
      </c>
      <c r="C9" s="50"/>
      <c r="D9" s="50"/>
      <c r="E9" s="50"/>
    </row>
    <row r="10" customFormat="false" ht="19.5" hidden="false" customHeight="true" outlineLevel="0" collapsed="false">
      <c r="C10" s="50"/>
      <c r="D10" s="50"/>
      <c r="E10" s="50"/>
    </row>
    <row r="11" customFormat="false" ht="19.5" hidden="false" customHeight="true" outlineLevel="0" collapsed="false">
      <c r="B11" s="44" t="s">
        <v>37</v>
      </c>
      <c r="C11" s="44"/>
      <c r="E11" s="50"/>
    </row>
    <row r="12" customFormat="false" ht="19.5" hidden="false" customHeight="true" outlineLevel="0" collapsed="false">
      <c r="B12" s="47" t="s">
        <v>38</v>
      </c>
      <c r="C12" s="46" t="n">
        <f aca="false">SUM(C7:E7)</f>
        <v>15541.32</v>
      </c>
      <c r="E12" s="50"/>
    </row>
    <row r="13" customFormat="false" ht="19.5" hidden="false" customHeight="true" outlineLevel="0" collapsed="false">
      <c r="B13" s="47" t="s">
        <v>39</v>
      </c>
      <c r="C13" s="46" t="n">
        <f aca="false">SUM(C8:E8)</f>
        <v>186495.84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35"/>
  <sheetViews>
    <sheetView showFormulas="false" showGridLines="false" showRowColHeaders="true" showZeros="true" rightToLeft="false" tabSelected="false" showOutlineSymbols="true" defaultGridColor="true" view="normal" topLeftCell="B10" colorId="64" zoomScale="110" zoomScaleNormal="110" zoomScalePageLayoutView="100" workbookViewId="0">
      <selection pane="topLeft" activeCell="V7" activeCellId="0" sqref="V7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6" width="33.6"/>
    <col collapsed="false" customWidth="true" hidden="false" outlineLevel="0" max="15" min="3" style="16" width="12.6"/>
    <col collapsed="false" customWidth="true" hidden="false" outlineLevel="0" max="16" min="16" style="16" width="8.4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"/>
    <col collapsed="false" customWidth="true" hidden="false" outlineLevel="0" max="40" min="37" style="16" width="11.7"/>
    <col collapsed="false" customWidth="true" hidden="false" outlineLevel="0" max="42" min="41" style="16" width="11.4"/>
    <col collapsed="false" customWidth="true" hidden="false" outlineLevel="0" max="43" min="43" style="16" width="12.9"/>
    <col collapsed="false" customWidth="true" hidden="false" outlineLevel="0" max="44" min="44" style="16" width="3.4"/>
    <col collapsed="false" customWidth="true" hidden="false" outlineLevel="0" max="45" min="45" style="16" width="28.1"/>
    <col collapsed="false" customWidth="true" hidden="false" outlineLevel="0" max="46" min="46" style="16" width="12.7"/>
    <col collapsed="false" customWidth="true" hidden="false" outlineLevel="0" max="49" min="47" style="16" width="11.7"/>
    <col collapsed="false" customWidth="true" hidden="false" outlineLevel="0" max="256" min="50" style="16" width="10.6"/>
    <col collapsed="false" customWidth="true" hidden="false" outlineLevel="0" max="1024" min="1013" style="1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"&amp;Resumo!B5&amp;" - PLANILHA DE FORMAÇÃO DE PREÇOS"</f>
        <v>BASE CURITIBA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2" t="str">
        <f aca="false">"BASE "&amp;Resumo!B5&amp;" – PLANILHA DE DISTRIBUIÇÃO DE CUSTOS POR UNIDADE"</f>
        <v>BASE CURITIBA – PLANILHA DE DISTRIBUIÇÃO DE CUSTOS POR UNIDADE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54"/>
      <c r="AI2" s="55" t="str">
        <f aca="false">"BASE "&amp;Resumo!B5&amp;" – PLANILHA RESUMO DE CUSTOS DA BASE"</f>
        <v>BASE CURITIBA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</row>
    <row r="4" s="33" customFormat="true" ht="19.5" hidden="false" customHeight="true" outlineLevel="0" collapsed="false">
      <c r="B4" s="45" t="s">
        <v>40</v>
      </c>
      <c r="C4" s="45" t="s">
        <v>41</v>
      </c>
      <c r="D4" s="45"/>
      <c r="E4" s="45"/>
      <c r="F4" s="45"/>
      <c r="G4" s="45"/>
      <c r="H4" s="45" t="s">
        <v>42</v>
      </c>
      <c r="I4" s="45"/>
      <c r="J4" s="45"/>
      <c r="K4" s="45"/>
      <c r="L4" s="45"/>
      <c r="M4" s="45"/>
      <c r="N4" s="45"/>
      <c r="O4" s="45" t="s">
        <v>27</v>
      </c>
      <c r="P4" s="53"/>
      <c r="Q4" s="45" t="s">
        <v>43</v>
      </c>
      <c r="R4" s="56" t="s">
        <v>44</v>
      </c>
      <c r="S4" s="56"/>
      <c r="T4" s="56"/>
      <c r="U4" s="56"/>
      <c r="V4" s="56" t="s">
        <v>45</v>
      </c>
      <c r="W4" s="56"/>
      <c r="X4" s="56"/>
      <c r="Y4" s="56"/>
      <c r="Z4" s="56" t="s">
        <v>46</v>
      </c>
      <c r="AA4" s="56"/>
      <c r="AB4" s="56"/>
      <c r="AC4" s="56"/>
      <c r="AD4" s="56" t="s">
        <v>47</v>
      </c>
      <c r="AE4" s="56"/>
      <c r="AF4" s="56"/>
      <c r="AG4" s="56"/>
      <c r="AI4" s="45" t="s">
        <v>43</v>
      </c>
      <c r="AJ4" s="57" t="s">
        <v>48</v>
      </c>
      <c r="AK4" s="57"/>
      <c r="AL4" s="57"/>
      <c r="AM4" s="57"/>
      <c r="AN4" s="57"/>
      <c r="AO4" s="57" t="s">
        <v>49</v>
      </c>
      <c r="AP4" s="57"/>
      <c r="AQ4" s="57"/>
      <c r="AR4" s="58"/>
      <c r="AS4" s="57" t="str">
        <f aca="false">"Resumo de Custos da Base "&amp;Resumo!B5</f>
        <v>Resumo de Custos da Base CURITIBA</v>
      </c>
      <c r="AT4" s="57"/>
      <c r="AU4" s="57"/>
      <c r="AV4" s="57"/>
      <c r="AW4" s="57"/>
    </row>
    <row r="5" customFormat="false" ht="39.75" hidden="false" customHeight="true" outlineLevel="0" collapsed="false">
      <c r="B5" s="45"/>
      <c r="C5" s="45" t="s">
        <v>27</v>
      </c>
      <c r="D5" s="45" t="s">
        <v>50</v>
      </c>
      <c r="E5" s="45" t="s">
        <v>51</v>
      </c>
      <c r="F5" s="45" t="s">
        <v>52</v>
      </c>
      <c r="G5" s="45" t="s">
        <v>53</v>
      </c>
      <c r="H5" s="45" t="s">
        <v>54</v>
      </c>
      <c r="I5" s="45" t="s">
        <v>55</v>
      </c>
      <c r="J5" s="45" t="s">
        <v>56</v>
      </c>
      <c r="K5" s="45" t="s">
        <v>57</v>
      </c>
      <c r="L5" s="45" t="s">
        <v>58</v>
      </c>
      <c r="M5" s="45" t="s">
        <v>59</v>
      </c>
      <c r="N5" s="45" t="s">
        <v>60</v>
      </c>
      <c r="O5" s="45"/>
      <c r="P5" s="53"/>
      <c r="Q5" s="45"/>
      <c r="R5" s="45" t="s">
        <v>61</v>
      </c>
      <c r="S5" s="45" t="s">
        <v>62</v>
      </c>
      <c r="T5" s="45" t="s">
        <v>63</v>
      </c>
      <c r="U5" s="45" t="s">
        <v>64</v>
      </c>
      <c r="V5" s="45" t="s">
        <v>65</v>
      </c>
      <c r="W5" s="45" t="s">
        <v>66</v>
      </c>
      <c r="X5" s="45" t="s">
        <v>67</v>
      </c>
      <c r="Y5" s="45" t="s">
        <v>68</v>
      </c>
      <c r="Z5" s="45" t="s">
        <v>69</v>
      </c>
      <c r="AA5" s="45"/>
      <c r="AB5" s="45"/>
      <c r="AC5" s="45" t="n">
        <f aca="false">N30</f>
        <v>950.35</v>
      </c>
      <c r="AD5" s="56" t="s">
        <v>61</v>
      </c>
      <c r="AE5" s="56" t="s">
        <v>62</v>
      </c>
      <c r="AF5" s="56" t="s">
        <v>63</v>
      </c>
      <c r="AG5" s="56" t="s">
        <v>64</v>
      </c>
      <c r="AI5" s="45"/>
      <c r="AJ5" s="56" t="s">
        <v>70</v>
      </c>
      <c r="AK5" s="56" t="s">
        <v>61</v>
      </c>
      <c r="AL5" s="56" t="s">
        <v>62</v>
      </c>
      <c r="AM5" s="56" t="s">
        <v>63</v>
      </c>
      <c r="AN5" s="56" t="s">
        <v>64</v>
      </c>
      <c r="AO5" s="56" t="s">
        <v>71</v>
      </c>
      <c r="AP5" s="56" t="s">
        <v>72</v>
      </c>
      <c r="AQ5" s="56" t="s">
        <v>73</v>
      </c>
      <c r="AR5" s="54"/>
      <c r="AS5" s="56" t="s">
        <v>74</v>
      </c>
      <c r="AT5" s="56" t="s">
        <v>61</v>
      </c>
      <c r="AU5" s="56" t="s">
        <v>62</v>
      </c>
      <c r="AV5" s="56" t="s">
        <v>63</v>
      </c>
      <c r="AW5" s="56" t="s">
        <v>64</v>
      </c>
    </row>
    <row r="6" customFormat="false" ht="19.5" hidden="false" customHeight="true" outlineLevel="0" collapsed="false">
      <c r="B6" s="45"/>
      <c r="C6" s="59" t="s">
        <v>75</v>
      </c>
      <c r="D6" s="59" t="n">
        <v>1</v>
      </c>
      <c r="E6" s="59" t="n">
        <v>0.35</v>
      </c>
      <c r="F6" s="59" t="n">
        <v>0.1</v>
      </c>
      <c r="G6" s="45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5"/>
      <c r="O6" s="45"/>
      <c r="P6" s="60"/>
      <c r="Q6" s="45"/>
      <c r="R6" s="59" t="s">
        <v>76</v>
      </c>
      <c r="S6" s="59" t="s">
        <v>77</v>
      </c>
      <c r="T6" s="59" t="s">
        <v>78</v>
      </c>
      <c r="U6" s="59" t="s">
        <v>79</v>
      </c>
      <c r="V6" s="45"/>
      <c r="W6" s="45"/>
      <c r="X6" s="45"/>
      <c r="Y6" s="45"/>
      <c r="Z6" s="35" t="s">
        <v>61</v>
      </c>
      <c r="AA6" s="35" t="s">
        <v>62</v>
      </c>
      <c r="AB6" s="35" t="s">
        <v>63</v>
      </c>
      <c r="AC6" s="35" t="s">
        <v>64</v>
      </c>
      <c r="AD6" s="56"/>
      <c r="AE6" s="56"/>
      <c r="AF6" s="56"/>
      <c r="AG6" s="56"/>
      <c r="AI6" s="45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5" t="s">
        <v>76</v>
      </c>
      <c r="AU6" s="35" t="s">
        <v>77</v>
      </c>
      <c r="AV6" s="35" t="s">
        <v>78</v>
      </c>
      <c r="AW6" s="35" t="s">
        <v>79</v>
      </c>
    </row>
    <row r="7" s="2" customFormat="true" ht="15" hidden="false" customHeight="true" outlineLevel="0" collapsed="false">
      <c r="B7" s="62" t="s">
        <v>80</v>
      </c>
      <c r="C7" s="63" t="n">
        <f aca="false">VLOOKUP($B7,Unidades!$D$5:$N$27,6,FALSE())</f>
        <v>476</v>
      </c>
      <c r="D7" s="63" t="n">
        <f aca="false">VLOOKUP($B7,Unidades!$D$5:$N$27,7,FALSE())</f>
        <v>476</v>
      </c>
      <c r="E7" s="63" t="n">
        <f aca="false">VLOOKUP($B7,Unidades!$D$5:$N$27,8,FALSE())</f>
        <v>0</v>
      </c>
      <c r="F7" s="63" t="n">
        <f aca="false">VLOOKUP($B7,Unidades!$D$5:$N$27,9,FALSE())</f>
        <v>0</v>
      </c>
      <c r="G7" s="63" t="n">
        <f aca="false">D7+E7*$E$6+F7*$F$6</f>
        <v>476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VLOOKUP($B7,Unidades!$D$5:$N$27,10,FALSE())</f>
        <v>NÃO</v>
      </c>
      <c r="K7" s="64" t="str">
        <f aca="false">VLOOKUP($B7,Unidades!$D$5:$N$27,11,FALSE())</f>
        <v>NÃO</v>
      </c>
      <c r="L7" s="64" t="n">
        <f aca="false">$L$6*H7+(IF(J7="SIM",$J$6,0))</f>
        <v>1.65</v>
      </c>
      <c r="M7" s="64" t="n">
        <f aca="false">$M$6*H7+(IF(J7="SIM",$J$6,0))+(IF(K7="SIM",$K$6,0))</f>
        <v>1.65</v>
      </c>
      <c r="N7" s="64" t="n">
        <f aca="false">H7*12+I7*4+L7*2+M7</f>
        <v>30.15</v>
      </c>
      <c r="O7" s="65" t="n">
        <f aca="false">IF(K7="não", N7*(C$33+D$33),N7*(C$33+D$33)+(M7*+E$33))</f>
        <v>1873.2195</v>
      </c>
      <c r="P7" s="66"/>
      <c r="Q7" s="22" t="str">
        <f aca="false">B7</f>
        <v>APS ARAUCÁRIA</v>
      </c>
      <c r="R7" s="24" t="n">
        <f aca="false">H7*($C$33+$D$33)</f>
        <v>93.195</v>
      </c>
      <c r="S7" s="24" t="n">
        <f aca="false">I7*($C$33+$D$33)</f>
        <v>111.834</v>
      </c>
      <c r="T7" s="24" t="n">
        <f aca="false">L7*($C$33+$D$33)</f>
        <v>102.5145</v>
      </c>
      <c r="U7" s="24" t="n">
        <f aca="false">IF(K7="não",M7*($C$33+$D$33),M7*(C$33+D$33+E$33))</f>
        <v>102.5145</v>
      </c>
      <c r="V7" s="24" t="n">
        <f aca="false">VLOOKUP(Q7,'Desl. Base Curitiba'!$C$5:$S$27,13,FALSE())*($C$33+$D$33+$E$33*(VLOOKUP(Q7,'Desl. Base Curitiba'!$C$5:$S$27,17,FALSE())/12))</f>
        <v>94.2305</v>
      </c>
      <c r="W7" s="24" t="n">
        <f aca="false">VLOOKUP(Q7,'Desl. Base Curitiba'!$C$5:$S$27,15,FALSE())*(2+(VLOOKUP(Q7,'Desl. Base Curitiba'!$C$5:$S$27,17,FALSE())/12))</f>
        <v>0</v>
      </c>
      <c r="X7" s="24" t="n">
        <f aca="false">VLOOKUP(Q7,'Desl. Base Curitiba'!$C$5:$S$28,14,FALSE())</f>
        <v>0</v>
      </c>
      <c r="Y7" s="24" t="n">
        <f aca="false">VLOOKUP(Q7,'Desl. Base Curitiba'!$C$5:$Q$29,13,FALSE())*'Desl. Base Curitiba'!$E$32+'Desl. Base Curitiba'!$E$33*N7/12</f>
        <v>97.3750416666667</v>
      </c>
      <c r="Z7" s="24" t="n">
        <f aca="false">(H7/$AC$5)*'Equipe Técnica'!$C$13</f>
        <v>294.35866785921</v>
      </c>
      <c r="AA7" s="24" t="n">
        <f aca="false">(I7/$AC$5)*'Equipe Técnica'!$C$13</f>
        <v>353.230401431052</v>
      </c>
      <c r="AB7" s="24" t="n">
        <f aca="false">(L7/$AC$5)*'Equipe Técnica'!$C$13</f>
        <v>323.794534645131</v>
      </c>
      <c r="AC7" s="24" t="n">
        <f aca="false">(M7/$AC$5)*'Equipe Técnica'!$C$13</f>
        <v>323.794534645131</v>
      </c>
      <c r="AD7" s="24" t="n">
        <f aca="false">R7+(($V7+$W7+$X7+$Y7)*12/19)+$Z7</f>
        <v>508.567694174999</v>
      </c>
      <c r="AE7" s="24" t="n">
        <f aca="false">S7+(($V7+$W7+$X7+$Y7)*12/19)+$AA7</f>
        <v>586.078427746841</v>
      </c>
      <c r="AF7" s="24" t="n">
        <f aca="false">T7+(($V7+$W7+$X7+$Y7)*12/19)+$AB7</f>
        <v>547.32306096092</v>
      </c>
      <c r="AG7" s="24" t="n">
        <f aca="false">U7+(($V7+$W7+$X7+$Y7)*12/19)+$AC7</f>
        <v>547.32306096092</v>
      </c>
      <c r="AI7" s="22" t="str">
        <f aca="false">B7</f>
        <v>APS ARAUCÁRIA</v>
      </c>
      <c r="AJ7" s="67" t="n">
        <f aca="false">VLOOKUP(AI7,Unidades!D$5:H$27,5,)</f>
        <v>0.2624</v>
      </c>
      <c r="AK7" s="46" t="n">
        <f aca="false">AD7*(1+$AJ7)</f>
        <v>642.015857126519</v>
      </c>
      <c r="AL7" s="46" t="n">
        <f aca="false">AE7*(1+$AJ7)</f>
        <v>739.865407187612</v>
      </c>
      <c r="AM7" s="46" t="n">
        <f aca="false">AF7*(1+$AJ7)</f>
        <v>690.940632157066</v>
      </c>
      <c r="AN7" s="46" t="n">
        <f aca="false">AG7*(1+$AJ7)</f>
        <v>690.940632157066</v>
      </c>
      <c r="AO7" s="46" t="n">
        <f aca="false">((AK7*12)+(AL7*4)+(AM7*2)+AN7)/12</f>
        <v>1061.37281756166</v>
      </c>
      <c r="AP7" s="46" t="n">
        <f aca="false">AO7*3</f>
        <v>3184.11845268497</v>
      </c>
      <c r="AQ7" s="46" t="n">
        <f aca="false">AO7+AP7</f>
        <v>4245.49127024663</v>
      </c>
      <c r="AR7" s="68"/>
      <c r="AS7" s="69" t="s">
        <v>81</v>
      </c>
      <c r="AT7" s="46" t="n">
        <f aca="false">AK30</f>
        <v>18267.0084111792</v>
      </c>
      <c r="AU7" s="46" t="n">
        <f aca="false">AL30</f>
        <v>21061.9007770772</v>
      </c>
      <c r="AV7" s="46" t="n">
        <f aca="false">AM30</f>
        <v>24813.3892776609</v>
      </c>
      <c r="AW7" s="46" t="n">
        <f aca="false">AN30</f>
        <v>36752.0578362451</v>
      </c>
    </row>
    <row r="8" s="2" customFormat="true" ht="15" hidden="false" customHeight="true" outlineLevel="0" collapsed="false">
      <c r="B8" s="62" t="s">
        <v>82</v>
      </c>
      <c r="C8" s="63" t="n">
        <f aca="false">VLOOKUP($B8,Unidades!$D$5:$N$27,6,FALSE())</f>
        <v>478.22</v>
      </c>
      <c r="D8" s="63" t="n">
        <f aca="false">VLOOKUP($B8,Unidades!$D$5:$N$27,7,FALSE())</f>
        <v>478.22</v>
      </c>
      <c r="E8" s="63" t="n">
        <f aca="false">VLOOKUP($B8,Unidades!$D$5:$N$27,8,FALSE())</f>
        <v>0</v>
      </c>
      <c r="F8" s="63" t="n">
        <f aca="false">VLOOKUP($B8,Unidades!$D$5:$N$27,9,FALSE())</f>
        <v>0</v>
      </c>
      <c r="G8" s="63" t="n">
        <f aca="false">D8+E8*$E$6+F8*$F$6</f>
        <v>478.22</v>
      </c>
      <c r="H8" s="64" t="n">
        <f aca="false">IF(G8&lt;750,1.5,IF(G8&lt;2000,2,3))</f>
        <v>1.5</v>
      </c>
      <c r="I8" s="64" t="n">
        <f aca="false">$I$6*H8</f>
        <v>1.8</v>
      </c>
      <c r="J8" s="64" t="str">
        <f aca="false">VLOOKUP($B8,Unidades!$D$5:$N$27,10,FALSE())</f>
        <v>NÃO</v>
      </c>
      <c r="K8" s="64" t="str">
        <f aca="false">VLOOKUP($B8,Unidades!$D$5:$N$27,11,FALSE())</f>
        <v>NÃO</v>
      </c>
      <c r="L8" s="64" t="n">
        <f aca="false">$L$6*H8+(IF(J8="SIM",$J$6,0))</f>
        <v>1.65</v>
      </c>
      <c r="M8" s="64" t="n">
        <f aca="false">$M$6*H8+(IF(J8="SIM",$J$6,0))+(IF(K8="SIM",$K$6,0))</f>
        <v>1.65</v>
      </c>
      <c r="N8" s="64" t="n">
        <f aca="false">H8*12+I8*4+L8*2+M8</f>
        <v>30.15</v>
      </c>
      <c r="O8" s="65" t="n">
        <f aca="false">IF(K8="não", N8*(C$33+D$33),N8*(C$33+D$33)+(M8*+E$33))</f>
        <v>1873.2195</v>
      </c>
      <c r="P8" s="66"/>
      <c r="Q8" s="22" t="str">
        <f aca="false">B8</f>
        <v>APS CAMPO LARGO</v>
      </c>
      <c r="R8" s="24" t="n">
        <f aca="false">H8*($C$33+$D$33)</f>
        <v>93.195</v>
      </c>
      <c r="S8" s="24" t="n">
        <f aca="false">I8*($C$33+$D$33)</f>
        <v>111.834</v>
      </c>
      <c r="T8" s="24" t="n">
        <f aca="false">L8*($C$33+$D$33)</f>
        <v>102.5145</v>
      </c>
      <c r="U8" s="24" t="n">
        <f aca="false">IF(K8="não",M8*($C$33+$D$33),M8*(C$33+D$33+E$33))</f>
        <v>102.5145</v>
      </c>
      <c r="V8" s="24" t="n">
        <f aca="false">VLOOKUP(Q8,'Desl. Base Curitiba'!$C$5:$S$27,13,FALSE())*($C$33+$D$33+$E$33*(VLOOKUP(Q8,'Desl. Base Curitiba'!$C$5:$S$27,17,FALSE())/12))</f>
        <v>105.10325</v>
      </c>
      <c r="W8" s="24" t="n">
        <f aca="false">VLOOKUP(Q8,'Desl. Base Curitiba'!$C$5:$S$27,15,FALSE())*(2+(VLOOKUP(Q8,'Desl. Base Curitiba'!$C$5:$S$27,17,FALSE())/12))</f>
        <v>0</v>
      </c>
      <c r="X8" s="24" t="n">
        <f aca="false">VLOOKUP(Q8,'Desl. Base Curitiba'!$C$5:$Q$29,14,FALSE())</f>
        <v>0</v>
      </c>
      <c r="Y8" s="24" t="n">
        <f aca="false">VLOOKUP(Q8,'Desl. Base Curitiba'!$C$5:$Q$29,13,FALSE())*'Desl. Base Curitiba'!$E$32+'Desl. Base Curitiba'!$E$33*N8/12</f>
        <v>106.595791666667</v>
      </c>
      <c r="Z8" s="24" t="n">
        <f aca="false">(H8/$AC$5)*'Equipe Técnica'!$C$13</f>
        <v>294.35866785921</v>
      </c>
      <c r="AA8" s="24" t="n">
        <f aca="false">(I8/$AC$5)*'Equipe Técnica'!$C$13</f>
        <v>353.230401431052</v>
      </c>
      <c r="AB8" s="24" t="n">
        <f aca="false">(L8/$AC$5)*'Equipe Técnica'!$C$13</f>
        <v>323.794534645131</v>
      </c>
      <c r="AC8" s="24" t="n">
        <f aca="false">(M8/$AC$5)*'Equipe Técnica'!$C$13</f>
        <v>323.794534645131</v>
      </c>
      <c r="AD8" s="24" t="n">
        <f aca="false">R8+(($V8+$W8+$X8+$Y8)*12/19)+$Z8</f>
        <v>521.258325753947</v>
      </c>
      <c r="AE8" s="24" t="n">
        <f aca="false">S8+(($V8+$W8+$X8+$Y8)*12/19)+$AA8</f>
        <v>598.769059325789</v>
      </c>
      <c r="AF8" s="24" t="n">
        <f aca="false">T8+(($V8+$W8+$X8+$Y8)*12/19)+$AB8</f>
        <v>560.013692539868</v>
      </c>
      <c r="AG8" s="24" t="n">
        <f aca="false">U8+(($V8+$W8+$X8+$Y8)*12/19)+$AC8</f>
        <v>560.013692539868</v>
      </c>
      <c r="AI8" s="22" t="str">
        <f aca="false">B8</f>
        <v>APS CAMPO LARGO</v>
      </c>
      <c r="AJ8" s="67" t="n">
        <f aca="false">VLOOKUP(AI8,Unidades!D$5:H$27,5,)</f>
        <v>0.2354</v>
      </c>
      <c r="AK8" s="46" t="n">
        <f aca="false">AD8*(1+$AJ8)</f>
        <v>643.962535636426</v>
      </c>
      <c r="AL8" s="46" t="n">
        <f aca="false">AE8*(1+$AJ8)</f>
        <v>739.719295891079</v>
      </c>
      <c r="AM8" s="46" t="n">
        <f aca="false">AF8*(1+$AJ8)</f>
        <v>691.840915763753</v>
      </c>
      <c r="AN8" s="46" t="n">
        <f aca="false">AG8*(1+$AJ8)</f>
        <v>691.840915763753</v>
      </c>
      <c r="AO8" s="46" t="n">
        <f aca="false">((AK8*12)+(AL8*4)+(AM8*2)+AN8)/12</f>
        <v>1063.49586320772</v>
      </c>
      <c r="AP8" s="46" t="n">
        <f aca="false">AO8*3</f>
        <v>3190.48758962317</v>
      </c>
      <c r="AQ8" s="46" t="n">
        <f aca="false">AO8+AP8</f>
        <v>4253.98345283089</v>
      </c>
      <c r="AR8" s="68"/>
      <c r="AS8" s="69" t="s">
        <v>83</v>
      </c>
      <c r="AT8" s="46" t="n">
        <f aca="false">AT7*12</f>
        <v>219204.100934151</v>
      </c>
      <c r="AU8" s="46" t="n">
        <f aca="false">AU7*4</f>
        <v>84247.6031083088</v>
      </c>
      <c r="AV8" s="46" t="n">
        <f aca="false">AV7*2</f>
        <v>49626.7785553218</v>
      </c>
      <c r="AW8" s="46" t="n">
        <f aca="false">AW7</f>
        <v>36752.0578362451</v>
      </c>
    </row>
    <row r="9" s="2" customFormat="true" ht="15" hidden="false" customHeight="true" outlineLevel="0" collapsed="false">
      <c r="B9" s="62" t="s">
        <v>84</v>
      </c>
      <c r="C9" s="63" t="n">
        <f aca="false">VLOOKUP($B9,Unidades!$D$5:$N$27,6,FALSE())</f>
        <v>757.45</v>
      </c>
      <c r="D9" s="63" t="n">
        <f aca="false">VLOOKUP($B9,Unidades!$D$5:$N$27,7,FALSE())</f>
        <v>696.76</v>
      </c>
      <c r="E9" s="63" t="n">
        <f aca="false">VLOOKUP($B9,Unidades!$D$5:$N$27,8,FALSE())</f>
        <v>60.69</v>
      </c>
      <c r="F9" s="63" t="n">
        <f aca="false">VLOOKUP($B9,Unidades!$D$5:$N$27,9,FALSE())</f>
        <v>0</v>
      </c>
      <c r="G9" s="63" t="n">
        <f aca="false">D9+E9*$E$6+F9*$F$6</f>
        <v>718.0015</v>
      </c>
      <c r="H9" s="64" t="n">
        <f aca="false">IF(G9&lt;750,1.5,IF(G9&lt;2000,2,3))</f>
        <v>1.5</v>
      </c>
      <c r="I9" s="64" t="n">
        <f aca="false">$I$6*H9</f>
        <v>1.8</v>
      </c>
      <c r="J9" s="64" t="str">
        <f aca="false">VLOOKUP($B9,Unidades!$D$5:$N$27,10,FALSE())</f>
        <v>NÃO</v>
      </c>
      <c r="K9" s="64" t="str">
        <f aca="false">VLOOKUP($B9,Unidades!$D$5:$N$27,11,FALSE())</f>
        <v>NÃO</v>
      </c>
      <c r="L9" s="64" t="n">
        <f aca="false">$L$6*H9+(IF(J9="SIM",$J$6,0))</f>
        <v>1.65</v>
      </c>
      <c r="M9" s="64" t="n">
        <f aca="false">$M$6*H9+(IF(J9="SIM",$J$6,0))+(IF(K9="SIM",$K$6,0))</f>
        <v>1.65</v>
      </c>
      <c r="N9" s="64" t="n">
        <f aca="false">H9*12+I9*4+L9*2+M9</f>
        <v>30.15</v>
      </c>
      <c r="O9" s="65" t="n">
        <f aca="false">IF(K9="não", N9*(C$33+D$33),N9*(C$33+D$33)+(M9*+E$33))</f>
        <v>1873.2195</v>
      </c>
      <c r="P9" s="66"/>
      <c r="Q9" s="22" t="str">
        <f aca="false">B9</f>
        <v>APS COLOMBO</v>
      </c>
      <c r="R9" s="24" t="n">
        <f aca="false">H9*($C$33+$D$33)</f>
        <v>93.195</v>
      </c>
      <c r="S9" s="24" t="n">
        <f aca="false">I9*($C$33+$D$33)</f>
        <v>111.834</v>
      </c>
      <c r="T9" s="24" t="n">
        <f aca="false">L9*($C$33+$D$33)</f>
        <v>102.5145</v>
      </c>
      <c r="U9" s="24" t="n">
        <f aca="false">IF(K9="não",M9*($C$33+$D$33),M9*(C$33+D$33+E$33))</f>
        <v>102.5145</v>
      </c>
      <c r="V9" s="24" t="n">
        <f aca="false">VLOOKUP(Q9,'Desl. Base Curitiba'!$C$5:$S$27,13,FALSE())*($C$33+$D$33+$E$33*(VLOOKUP(Q9,'Desl. Base Curitiba'!$C$5:$S$27,17,FALSE())/12))</f>
        <v>67.3075</v>
      </c>
      <c r="W9" s="24" t="n">
        <f aca="false">VLOOKUP(Q9,'Desl. Base Curitiba'!$C$5:$S$27,15,FALSE())*(2+(VLOOKUP(Q9,'Desl. Base Curitiba'!$C$5:$S$27,17,FALSE())/12))</f>
        <v>0</v>
      </c>
      <c r="X9" s="24" t="n">
        <f aca="false">VLOOKUP(Q9,'Desl. Base Curitiba'!$C$5:$Q$29,14,FALSE())</f>
        <v>0</v>
      </c>
      <c r="Y9" s="24" t="n">
        <f aca="false">VLOOKUP(Q9,'Desl. Base Curitiba'!$C$5:$Q$29,13,FALSE())*'Desl. Base Curitiba'!$E$32+'Desl. Base Curitiba'!$E$33*N9/12</f>
        <v>74.5427083333333</v>
      </c>
      <c r="Z9" s="24" t="n">
        <f aca="false">(H9/$AC$5)*'Equipe Técnica'!$C$13</f>
        <v>294.35866785921</v>
      </c>
      <c r="AA9" s="24" t="n">
        <f aca="false">(I9/$AC$5)*'Equipe Técnica'!$C$13</f>
        <v>353.230401431052</v>
      </c>
      <c r="AB9" s="24" t="n">
        <f aca="false">(L9/$AC$5)*'Equipe Técnica'!$C$13</f>
        <v>323.794534645131</v>
      </c>
      <c r="AC9" s="24" t="n">
        <f aca="false">(M9/$AC$5)*'Equipe Técnica'!$C$13</f>
        <v>323.794534645131</v>
      </c>
      <c r="AD9" s="24" t="n">
        <f aca="false">R9+(($V9+$W9+$X9+$Y9)*12/19)+$Z9</f>
        <v>477.143273122368</v>
      </c>
      <c r="AE9" s="24" t="n">
        <f aca="false">S9+(($V9+$W9+$X9+$Y9)*12/19)+$AA9</f>
        <v>554.65400669421</v>
      </c>
      <c r="AF9" s="24" t="n">
        <f aca="false">T9+(($V9+$W9+$X9+$Y9)*12/19)+$AB9</f>
        <v>515.898639908289</v>
      </c>
      <c r="AG9" s="24" t="n">
        <f aca="false">U9+(($V9+$W9+$X9+$Y9)*12/19)+$AC9</f>
        <v>515.898639908289</v>
      </c>
      <c r="AI9" s="22" t="str">
        <f aca="false">B9</f>
        <v>APS COLOMBO</v>
      </c>
      <c r="AJ9" s="67" t="n">
        <f aca="false">VLOOKUP(AI9,Unidades!D$5:H$27,5,)</f>
        <v>0.2223</v>
      </c>
      <c r="AK9" s="46" t="n">
        <f aca="false">AD9*(1+$AJ9)</f>
        <v>583.21222273747</v>
      </c>
      <c r="AL9" s="46" t="n">
        <f aca="false">AE9*(1+$AJ9)</f>
        <v>677.953592382332</v>
      </c>
      <c r="AM9" s="46" t="n">
        <f aca="false">AF9*(1+$AJ9)</f>
        <v>630.582907559901</v>
      </c>
      <c r="AN9" s="46" t="n">
        <f aca="false">AG9*(1+$AJ9)</f>
        <v>630.582907559901</v>
      </c>
      <c r="AO9" s="46" t="n">
        <f aca="false">((AK9*12)+(AL9*4)+(AM9*2)+AN9)/12</f>
        <v>966.842480421556</v>
      </c>
      <c r="AP9" s="46" t="n">
        <f aca="false">AO9*3</f>
        <v>2900.52744126467</v>
      </c>
      <c r="AQ9" s="46" t="n">
        <f aca="false">AO9+AP9</f>
        <v>3867.36992168622</v>
      </c>
      <c r="AR9" s="68"/>
      <c r="AS9" s="68"/>
      <c r="AT9" s="70"/>
      <c r="AU9" s="70"/>
      <c r="AV9" s="70"/>
      <c r="AW9" s="70"/>
    </row>
    <row r="10" s="2" customFormat="true" ht="15" hidden="false" customHeight="true" outlineLevel="0" collapsed="false">
      <c r="B10" s="62" t="s">
        <v>85</v>
      </c>
      <c r="C10" s="63" t="n">
        <f aca="false">VLOOKUP($B10,Unidades!$D$5:$N$27,6,FALSE())</f>
        <v>7788.67</v>
      </c>
      <c r="D10" s="63" t="n">
        <f aca="false">VLOOKUP($B10,Unidades!$D$5:$N$27,7,FALSE())</f>
        <v>6325.68</v>
      </c>
      <c r="E10" s="63" t="n">
        <f aca="false">VLOOKUP($B10,Unidades!$D$5:$N$27,8,FALSE())</f>
        <v>61.05</v>
      </c>
      <c r="F10" s="63" t="n">
        <f aca="false">VLOOKUP($B10,Unidades!$D$5:$N$27,9,FALSE())</f>
        <v>1401.94</v>
      </c>
      <c r="G10" s="63" t="n">
        <f aca="false">D10+E10*$E$6+F10*$F$6</f>
        <v>6487.2415</v>
      </c>
      <c r="H10" s="64" t="n">
        <f aca="false">IF(G10&lt;750,1.5,IF(G10&lt;2000,2,3))</f>
        <v>3</v>
      </c>
      <c r="I10" s="64" t="n">
        <f aca="false">$I$6*H10</f>
        <v>3.6</v>
      </c>
      <c r="J10" s="64" t="str">
        <f aca="false">VLOOKUP($B10,Unidades!$D$5:$N$27,10,FALSE())</f>
        <v>SIM</v>
      </c>
      <c r="K10" s="64" t="str">
        <f aca="false">VLOOKUP($B10,Unidades!$D$5:$N$27,11,FALSE())</f>
        <v>SIM</v>
      </c>
      <c r="L10" s="64" t="n">
        <f aca="false">$L$6*H10+(IF(J10="SIM",$J$6,0))</f>
        <v>5.3</v>
      </c>
      <c r="M10" s="64" t="n">
        <f aca="false">$M$6*H10+(IF(J10="SIM",$J$6,0))+(IF(K10="SIM",$K$6,0))</f>
        <v>9.3</v>
      </c>
      <c r="N10" s="64" t="n">
        <f aca="false">H10*12+I10*4+L10*2+M10</f>
        <v>70.3</v>
      </c>
      <c r="O10" s="65" t="n">
        <f aca="false">IF(K10="não", N10*(C$33+D$33),N10*(C$33+D$33)+(M10*+E$33))</f>
        <v>4749.969</v>
      </c>
      <c r="P10" s="66"/>
      <c r="Q10" s="22" t="str">
        <f aca="false">B10</f>
        <v>APS CURITIBA-CÂNDIDO LOPES</v>
      </c>
      <c r="R10" s="24" t="n">
        <f aca="false">H10*($C$33+$D$33)</f>
        <v>186.39</v>
      </c>
      <c r="S10" s="24" t="n">
        <f aca="false">I10*($C$33+$D$33)</f>
        <v>223.668</v>
      </c>
      <c r="T10" s="24" t="n">
        <f aca="false">L10*($C$33+$D$33)</f>
        <v>329.289</v>
      </c>
      <c r="U10" s="24" t="n">
        <f aca="false">IF(K10="não",M10*($C$33+$D$33),M10*(C$33+D$33+E$33))</f>
        <v>960.039</v>
      </c>
      <c r="V10" s="24" t="n">
        <f aca="false">VLOOKUP(Q10,'Desl. Base Curitiba'!$C$5:$S$27,13,FALSE())*($C$33+$D$33+$E$33*(VLOOKUP(Q10,'Desl. Base Curitiba'!$C$5:$S$27,17,FALSE())/12))</f>
        <v>9.83325</v>
      </c>
      <c r="W10" s="24" t="n">
        <f aca="false">VLOOKUP(Q10,'Desl. Base Curitiba'!$C$5:$S$27,15,FALSE())*(2+(VLOOKUP(Q10,'Desl. Base Curitiba'!$C$5:$S$27,17,FALSE())/12))</f>
        <v>0</v>
      </c>
      <c r="X10" s="24" t="n">
        <f aca="false">VLOOKUP(Q10,'Desl. Base Curitiba'!$C$5:$Q$29,14,FALSE())</f>
        <v>0</v>
      </c>
      <c r="Y10" s="24" t="n">
        <f aca="false">VLOOKUP(Q10,'Desl. Base Curitiba'!$C$5:$Q$29,13,FALSE())*'Desl. Base Curitiba'!$E$32+'Desl. Base Curitiba'!$E$33*N10/12</f>
        <v>48.6189166666667</v>
      </c>
      <c r="Z10" s="24" t="n">
        <f aca="false">(H10/$AC$5)*'Equipe Técnica'!$C$13</f>
        <v>588.71733571842</v>
      </c>
      <c r="AA10" s="24" t="n">
        <f aca="false">(I10/$AC$5)*'Equipe Técnica'!$C$13</f>
        <v>706.460802862103</v>
      </c>
      <c r="AB10" s="24" t="n">
        <f aca="false">(L10/$AC$5)*'Equipe Técnica'!$C$13</f>
        <v>1040.06729310254</v>
      </c>
      <c r="AC10" s="24" t="n">
        <f aca="false">(M10/$AC$5)*'Equipe Técnica'!$C$13</f>
        <v>1825.0237407271</v>
      </c>
      <c r="AD10" s="24" t="n">
        <f aca="false">R10+(($V10+$W10+$X10+$Y10)*12/19)+$Z10</f>
        <v>812.024493613156</v>
      </c>
      <c r="AE10" s="24" t="n">
        <f aca="false">S10+(($V10+$W10+$X10+$Y10)*12/19)+$AA10</f>
        <v>967.04596075684</v>
      </c>
      <c r="AF10" s="24" t="n">
        <f aca="false">T10+(($V10+$W10+$X10+$Y10)*12/19)+$AB10</f>
        <v>1406.27345099728</v>
      </c>
      <c r="AG10" s="24" t="n">
        <f aca="false">U10+(($V10+$W10+$X10+$Y10)*12/19)+$AC10</f>
        <v>2821.97989862184</v>
      </c>
      <c r="AI10" s="22" t="str">
        <f aca="false">B10</f>
        <v>APS CURITIBA-CÂNDIDO LOPES</v>
      </c>
      <c r="AJ10" s="67" t="n">
        <f aca="false">VLOOKUP(AI10,Unidades!D$5:H$27,5,)</f>
        <v>0.2624</v>
      </c>
      <c r="AK10" s="46" t="n">
        <f aca="false">AD10*(1+$AJ10)</f>
        <v>1025.09972073725</v>
      </c>
      <c r="AL10" s="46" t="n">
        <f aca="false">AE10*(1+$AJ10)</f>
        <v>1220.79882085944</v>
      </c>
      <c r="AM10" s="46" t="n">
        <f aca="false">AF10*(1+$AJ10)</f>
        <v>1775.27960453896</v>
      </c>
      <c r="AN10" s="46" t="n">
        <f aca="false">AG10*(1+$AJ10)</f>
        <v>3562.46742402021</v>
      </c>
      <c r="AO10" s="46" t="n">
        <f aca="false">((AK10*12)+(AL10*4)+(AM10*2)+AN10)/12</f>
        <v>2024.78488044857</v>
      </c>
      <c r="AP10" s="46" t="n">
        <f aca="false">AO10*3</f>
        <v>6074.35464134572</v>
      </c>
      <c r="AQ10" s="46" t="n">
        <f aca="false">AO10+AP10</f>
        <v>8099.13952179429</v>
      </c>
      <c r="AR10" s="68"/>
      <c r="AS10" s="71" t="s">
        <v>71</v>
      </c>
      <c r="AT10" s="46" t="n">
        <f aca="false">(SUM(AT8:AW8))/12</f>
        <v>32485.8783695022</v>
      </c>
      <c r="AU10" s="46"/>
      <c r="AV10" s="70"/>
      <c r="AW10" s="70"/>
    </row>
    <row r="11" s="2" customFormat="true" ht="15" hidden="false" customHeight="true" outlineLevel="0" collapsed="false">
      <c r="B11" s="62" t="s">
        <v>86</v>
      </c>
      <c r="C11" s="63" t="n">
        <f aca="false">VLOOKUP($B11,Unidades!$D$5:$N$27,6,FALSE())</f>
        <v>868.93</v>
      </c>
      <c r="D11" s="63" t="n">
        <f aca="false">VLOOKUP($B11,Unidades!$D$5:$N$27,7,FALSE())</f>
        <v>716.43</v>
      </c>
      <c r="E11" s="63" t="n">
        <f aca="false">VLOOKUP($B11,Unidades!$D$5:$N$27,8,FALSE())</f>
        <v>152.5</v>
      </c>
      <c r="F11" s="63" t="n">
        <f aca="false">VLOOKUP($B11,Unidades!$D$5:$N$27,9,FALSE())</f>
        <v>0</v>
      </c>
      <c r="G11" s="63" t="n">
        <f aca="false">D11+E11*$E$6+F11*$F$6</f>
        <v>769.805</v>
      </c>
      <c r="H11" s="64" t="n">
        <f aca="false">IF(G11&lt;750,1.5,IF(G11&lt;2000,2,3))</f>
        <v>2</v>
      </c>
      <c r="I11" s="64" t="n">
        <f aca="false">$I$6*H11</f>
        <v>2.4</v>
      </c>
      <c r="J11" s="64" t="str">
        <f aca="false">VLOOKUP($B11,Unidades!$D$5:$N$27,10,FALSE())</f>
        <v>NÃO</v>
      </c>
      <c r="K11" s="64" t="str">
        <f aca="false">VLOOKUP($B11,Unidades!$D$5:$N$27,11,FALSE())</f>
        <v>NÃO</v>
      </c>
      <c r="L11" s="64" t="n">
        <f aca="false">$L$6*H11+(IF(J11="SIM",$J$6,0))</f>
        <v>2.2</v>
      </c>
      <c r="M11" s="64" t="n">
        <f aca="false">$M$6*H11+(IF(J11="SIM",$J$6,0))+(IF(K11="SIM",$K$6,0))</f>
        <v>2.2</v>
      </c>
      <c r="N11" s="64" t="n">
        <f aca="false">H11*12+I11*4+L11*2+M11</f>
        <v>40.2</v>
      </c>
      <c r="O11" s="65" t="n">
        <f aca="false">IF(K11="não", N11*(C$33+D$33),N11*(C$33+D$33)+(M11*+E$33))</f>
        <v>2497.626</v>
      </c>
      <c r="P11" s="66"/>
      <c r="Q11" s="22" t="str">
        <f aca="false">B11</f>
        <v>APS CURITIBA-HAUER</v>
      </c>
      <c r="R11" s="24" t="n">
        <f aca="false">H11*($C$33+$D$33)</f>
        <v>124.26</v>
      </c>
      <c r="S11" s="24" t="n">
        <f aca="false">I11*($C$33+$D$33)</f>
        <v>149.112</v>
      </c>
      <c r="T11" s="24" t="n">
        <f aca="false">L11*($C$33+$D$33)</f>
        <v>136.686</v>
      </c>
      <c r="U11" s="24" t="n">
        <f aca="false">IF(K11="não",M11*($C$33+$D$33),M11*(C$33+D$33+E$33))</f>
        <v>136.686</v>
      </c>
      <c r="V11" s="24" t="n">
        <f aca="false">VLOOKUP(Q11,'Desl. Base Curitiba'!$C$5:$S$27,13,FALSE())*($C$33+$D$33+$E$33*(VLOOKUP(Q11,'Desl. Base Curitiba'!$C$5:$S$27,17,FALSE())/12))</f>
        <v>35.207</v>
      </c>
      <c r="W11" s="24" t="n">
        <f aca="false">VLOOKUP(Q11,'Desl. Base Curitiba'!$C$5:$S$27,15,FALSE())*(2+(VLOOKUP(Q11,'Desl. Base Curitiba'!$C$5:$S$27,17,FALSE())/12))</f>
        <v>0</v>
      </c>
      <c r="X11" s="24" t="n">
        <f aca="false">VLOOKUP(Q11,'Desl. Base Curitiba'!$C$5:$Q$29,14,FALSE())</f>
        <v>0</v>
      </c>
      <c r="Y11" s="24" t="n">
        <f aca="false">VLOOKUP(Q11,'Desl. Base Curitiba'!$C$5:$Q$29,13,FALSE())*'Desl. Base Curitiba'!$E$32+'Desl. Base Curitiba'!$E$33*N11/12</f>
        <v>53.1401666666667</v>
      </c>
      <c r="Z11" s="24" t="n">
        <f aca="false">(H11/$AC$5)*'Equipe Técnica'!$C$13</f>
        <v>392.47822381228</v>
      </c>
      <c r="AA11" s="24" t="n">
        <f aca="false">(I11/$AC$5)*'Equipe Técnica'!$C$13</f>
        <v>470.973868574736</v>
      </c>
      <c r="AB11" s="24" t="n">
        <f aca="false">(L11/$AC$5)*'Equipe Técnica'!$C$13</f>
        <v>431.726046193508</v>
      </c>
      <c r="AC11" s="24" t="n">
        <f aca="false">(M11/$AC$5)*'Equipe Técnica'!$C$13</f>
        <v>431.726046193508</v>
      </c>
      <c r="AD11" s="24" t="n">
        <f aca="false">R11+(($V11+$W11+$X11+$Y11)*12/19)+$Z11</f>
        <v>572.536434338595</v>
      </c>
      <c r="AE11" s="24" t="n">
        <f aca="false">S11+(($V11+$W11+$X11+$Y11)*12/19)+$AA11</f>
        <v>675.884079101051</v>
      </c>
      <c r="AF11" s="24" t="n">
        <f aca="false">T11+(($V11+$W11+$X11+$Y11)*12/19)+$AB11</f>
        <v>624.210256719824</v>
      </c>
      <c r="AG11" s="24" t="n">
        <f aca="false">U11+(($V11+$W11+$X11+$Y11)*12/19)+$AC11</f>
        <v>624.210256719824</v>
      </c>
      <c r="AI11" s="22" t="str">
        <f aca="false">B11</f>
        <v>APS CURITIBA-HAUER</v>
      </c>
      <c r="AJ11" s="67" t="n">
        <f aca="false">VLOOKUP(AI11,Unidades!D$5:H$27,5,)</f>
        <v>0.2624</v>
      </c>
      <c r="AK11" s="46" t="n">
        <f aca="false">AD11*(1+$AJ11)</f>
        <v>722.769994709043</v>
      </c>
      <c r="AL11" s="46" t="n">
        <f aca="false">AE11*(1+$AJ11)</f>
        <v>853.236061457167</v>
      </c>
      <c r="AM11" s="46" t="n">
        <f aca="false">AF11*(1+$AJ11)</f>
        <v>788.003028083105</v>
      </c>
      <c r="AN11" s="46" t="n">
        <f aca="false">AG11*(1+$AJ11)</f>
        <v>788.003028083105</v>
      </c>
      <c r="AO11" s="46" t="n">
        <f aca="false">((AK11*12)+(AL11*4)+(AM11*2)+AN11)/12</f>
        <v>1204.18277221554</v>
      </c>
      <c r="AP11" s="46" t="n">
        <f aca="false">AO11*3</f>
        <v>3612.54831664662</v>
      </c>
      <c r="AQ11" s="46" t="n">
        <f aca="false">AO11+AP11</f>
        <v>4816.73108886217</v>
      </c>
      <c r="AR11" s="68"/>
      <c r="AS11" s="71" t="s">
        <v>87</v>
      </c>
      <c r="AT11" s="46" t="n">
        <f aca="false">AT10*12</f>
        <v>389830.540434027</v>
      </c>
      <c r="AU11" s="46"/>
      <c r="AV11" s="70"/>
      <c r="AW11" s="70"/>
    </row>
    <row r="12" s="2" customFormat="true" ht="15" hidden="false" customHeight="true" outlineLevel="0" collapsed="false">
      <c r="B12" s="62" t="s">
        <v>88</v>
      </c>
      <c r="C12" s="63" t="n">
        <f aca="false">VLOOKUP($B12,Unidades!$D$5:$N$27,6,FALSE())</f>
        <v>3545.15</v>
      </c>
      <c r="D12" s="63" t="n">
        <f aca="false">VLOOKUP($B12,Unidades!$D$5:$N$27,7,FALSE())</f>
        <v>2148.33</v>
      </c>
      <c r="E12" s="63" t="n">
        <f aca="false">VLOOKUP($B12,Unidades!$D$5:$N$27,8,FALSE())</f>
        <v>0</v>
      </c>
      <c r="F12" s="63" t="n">
        <f aca="false">VLOOKUP($B12,Unidades!$D$5:$N$27,9,FALSE())</f>
        <v>1396.82</v>
      </c>
      <c r="G12" s="63" t="n">
        <f aca="false">D12+E12*$E$6+F12*$F$6</f>
        <v>2288.012</v>
      </c>
      <c r="H12" s="64" t="n">
        <f aca="false">IF(G12&lt;750,1.5,IF(G12&lt;2000,2,3))</f>
        <v>3</v>
      </c>
      <c r="I12" s="64" t="n">
        <f aca="false">$I$6*H12</f>
        <v>3.6</v>
      </c>
      <c r="J12" s="64" t="str">
        <f aca="false">VLOOKUP($B12,Unidades!$D$5:$N$27,10,FALSE())</f>
        <v>SIM</v>
      </c>
      <c r="K12" s="64" t="str">
        <f aca="false">VLOOKUP($B12,Unidades!$D$5:$N$27,11,FALSE())</f>
        <v>SIM</v>
      </c>
      <c r="L12" s="64" t="n">
        <f aca="false">$L$6*H12+(IF(J12="SIM",$J$6,0))</f>
        <v>5.3</v>
      </c>
      <c r="M12" s="64" t="n">
        <f aca="false">$M$6*H12+(IF(J12="SIM",$J$6,0))+(IF(K12="SIM",$K$6,0))</f>
        <v>9.3</v>
      </c>
      <c r="N12" s="64" t="n">
        <f aca="false">H12*12+I12*4+L12*2+M12</f>
        <v>70.3</v>
      </c>
      <c r="O12" s="65" t="n">
        <f aca="false">IF(K12="não", N12*(C$33+D$33),N12*(C$33+D$33)+(M12*+E$33))</f>
        <v>4749.969</v>
      </c>
      <c r="P12" s="66"/>
      <c r="Q12" s="22" t="str">
        <f aca="false">B12</f>
        <v>APS CURITIBA-VISC. DE GUARAPUAVA</v>
      </c>
      <c r="R12" s="24" t="n">
        <f aca="false">H12*($C$33+$D$33)</f>
        <v>186.39</v>
      </c>
      <c r="S12" s="24" t="n">
        <f aca="false">I12*($C$33+$D$33)</f>
        <v>223.668</v>
      </c>
      <c r="T12" s="24" t="n">
        <f aca="false">L12*($C$33+$D$33)</f>
        <v>329.289</v>
      </c>
      <c r="U12" s="24" t="n">
        <f aca="false">IF(K12="não",M12*($C$33+$D$33),M12*(C$33+D$33+E$33))</f>
        <v>960.039</v>
      </c>
      <c r="V12" s="24" t="n">
        <f aca="false">VLOOKUP(Q12,'Desl. Base Curitiba'!$C$5:$S$27,13,FALSE())*($C$33+$D$33+$E$33*(VLOOKUP(Q12,'Desl. Base Curitiba'!$C$5:$S$27,17,FALSE())/12))</f>
        <v>9.83325</v>
      </c>
      <c r="W12" s="24" t="n">
        <f aca="false">VLOOKUP(Q12,'Desl. Base Curitiba'!$C$5:$S$27,15,FALSE())*(2+(VLOOKUP(Q12,'Desl. Base Curitiba'!$C$5:$S$27,17,FALSE())/12))</f>
        <v>0</v>
      </c>
      <c r="X12" s="24" t="n">
        <f aca="false">VLOOKUP(Q12,'Desl. Base Curitiba'!$C$5:$Q$29,14,FALSE())</f>
        <v>0</v>
      </c>
      <c r="Y12" s="24" t="n">
        <f aca="false">VLOOKUP(Q12,'Desl. Base Curitiba'!$C$5:$Q$29,13,FALSE())*'Desl. Base Curitiba'!$E$32+'Desl. Base Curitiba'!$E$33*N12/12</f>
        <v>48.6189166666667</v>
      </c>
      <c r="Z12" s="24" t="n">
        <f aca="false">(H12/$AC$5)*'Equipe Técnica'!$C$13</f>
        <v>588.71733571842</v>
      </c>
      <c r="AA12" s="24" t="n">
        <f aca="false">(I12/$AC$5)*'Equipe Técnica'!$C$13</f>
        <v>706.460802862103</v>
      </c>
      <c r="AB12" s="24" t="n">
        <f aca="false">(L12/$AC$5)*'Equipe Técnica'!$C$13</f>
        <v>1040.06729310254</v>
      </c>
      <c r="AC12" s="24" t="n">
        <f aca="false">(M12/$AC$5)*'Equipe Técnica'!$C$13</f>
        <v>1825.0237407271</v>
      </c>
      <c r="AD12" s="24" t="n">
        <f aca="false">R12+(($V12+$W12+$X12+$Y12)*12/19)+$Z12</f>
        <v>812.024493613156</v>
      </c>
      <c r="AE12" s="24" t="n">
        <f aca="false">S12+(($V12+$W12+$X12+$Y12)*12/19)+$AA12</f>
        <v>967.04596075684</v>
      </c>
      <c r="AF12" s="24" t="n">
        <f aca="false">T12+(($V12+$W12+$X12+$Y12)*12/19)+$AB12</f>
        <v>1406.27345099728</v>
      </c>
      <c r="AG12" s="24" t="n">
        <f aca="false">U12+(($V12+$W12+$X12+$Y12)*12/19)+$AC12</f>
        <v>2821.97989862184</v>
      </c>
      <c r="AI12" s="22" t="str">
        <f aca="false">B12</f>
        <v>APS CURITIBA-VISC. DE GUARAPUAVA</v>
      </c>
      <c r="AJ12" s="67" t="n">
        <f aca="false">VLOOKUP(AI12,Unidades!D$5:H$27,5,)</f>
        <v>0.2624</v>
      </c>
      <c r="AK12" s="46" t="n">
        <f aca="false">AD12*(1+$AJ12)</f>
        <v>1025.09972073725</v>
      </c>
      <c r="AL12" s="46" t="n">
        <f aca="false">AE12*(1+$AJ12)</f>
        <v>1220.79882085944</v>
      </c>
      <c r="AM12" s="46" t="n">
        <f aca="false">AF12*(1+$AJ12)</f>
        <v>1775.27960453896</v>
      </c>
      <c r="AN12" s="46" t="n">
        <f aca="false">AG12*(1+$AJ12)</f>
        <v>3562.46742402021</v>
      </c>
      <c r="AO12" s="46" t="n">
        <f aca="false">((AK12*12)+(AL12*4)+(AM12*2)+AN12)/12</f>
        <v>2024.78488044857</v>
      </c>
      <c r="AP12" s="46" t="n">
        <f aca="false">AO12*3</f>
        <v>6074.35464134572</v>
      </c>
      <c r="AQ12" s="46" t="n">
        <f aca="false">AO12+AP12</f>
        <v>8099.13952179429</v>
      </c>
      <c r="AR12" s="68"/>
      <c r="AS12" s="71" t="s">
        <v>72</v>
      </c>
      <c r="AT12" s="46" t="n">
        <f aca="false">AT10*3</f>
        <v>97457.6351085066</v>
      </c>
      <c r="AU12" s="46"/>
      <c r="AV12" s="68"/>
      <c r="AW12" s="68"/>
    </row>
    <row r="13" s="2" customFormat="true" ht="15" hidden="false" customHeight="true" outlineLevel="0" collapsed="false">
      <c r="B13" s="62" t="s">
        <v>89</v>
      </c>
      <c r="C13" s="63" t="n">
        <f aca="false">VLOOKUP($B13,Unidades!$D$5:$N$27,6,FALSE())</f>
        <v>567.87</v>
      </c>
      <c r="D13" s="63" t="n">
        <f aca="false">VLOOKUP($B13,Unidades!$D$5:$N$27,7,FALSE())</f>
        <v>567.87</v>
      </c>
      <c r="E13" s="63" t="n">
        <f aca="false">VLOOKUP($B13,Unidades!$D$5:$N$27,8,FALSE())</f>
        <v>0</v>
      </c>
      <c r="F13" s="63" t="n">
        <f aca="false">VLOOKUP($B13,Unidades!$D$5:$N$27,9,FALSE())</f>
        <v>0</v>
      </c>
      <c r="G13" s="63" t="n">
        <f aca="false">D13+E13*$E$6+F13*$F$6</f>
        <v>567.87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VLOOKUP($B13,Unidades!$D$5:$N$27,10,FALSE())</f>
        <v>NÃO</v>
      </c>
      <c r="K13" s="64" t="str">
        <f aca="false">VLOOKUP($B13,Unidades!$D$5:$N$27,11,FALSE())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N13*(C$33+D$33),N13*(C$33+D$33)+(M13*+E$33))</f>
        <v>1873.2195</v>
      </c>
      <c r="P13" s="66"/>
      <c r="Q13" s="22" t="str">
        <f aca="false">B13</f>
        <v>APS FAZENDA RIO GRANDE</v>
      </c>
      <c r="R13" s="24" t="n">
        <f aca="false">H13*($C$33+$D$33)</f>
        <v>93.195</v>
      </c>
      <c r="S13" s="24" t="n">
        <f aca="false">I13*($C$33+$D$33)</f>
        <v>111.834</v>
      </c>
      <c r="T13" s="24" t="n">
        <f aca="false">L13*($C$33+$D$33)</f>
        <v>102.5145</v>
      </c>
      <c r="U13" s="24" t="n">
        <f aca="false">IF(K13="não",M13*($C$33+$D$33),M13*(C$33+D$33+E$33))</f>
        <v>102.5145</v>
      </c>
      <c r="V13" s="24" t="n">
        <f aca="false">VLOOKUP(Q13,'Desl. Base Curitiba'!$C$5:$S$27,13,FALSE())*($C$33+$D$33+$E$33*(VLOOKUP(Q13,'Desl. Base Curitiba'!$C$5:$S$27,17,FALSE())/12))</f>
        <v>64.201</v>
      </c>
      <c r="W13" s="24" t="n">
        <f aca="false">VLOOKUP(Q13,'Desl. Base Curitiba'!$C$5:$S$27,15,FALSE())*(2+(VLOOKUP(Q13,'Desl. Base Curitiba'!$C$5:$S$27,17,FALSE())/12))</f>
        <v>0</v>
      </c>
      <c r="X13" s="24" t="n">
        <f aca="false">VLOOKUP(Q13,'Desl. Base Curitiba'!$C$5:$Q$29,14,FALSE())</f>
        <v>0</v>
      </c>
      <c r="Y13" s="24" t="n">
        <f aca="false">VLOOKUP(Q13,'Desl. Base Curitiba'!$C$5:$Q$29,13,FALSE())*'Desl. Base Curitiba'!$E$32+'Desl. Base Curitiba'!$E$33*N13/12</f>
        <v>71.9082083333333</v>
      </c>
      <c r="Z13" s="24" t="n">
        <f aca="false">(H13/$AC$5)*'Equipe Técnica'!$C$13</f>
        <v>294.35866785921</v>
      </c>
      <c r="AA13" s="24" t="n">
        <f aca="false">(I13/$AC$5)*'Equipe Técnica'!$C$13</f>
        <v>353.230401431052</v>
      </c>
      <c r="AB13" s="24" t="n">
        <f aca="false">(L13/$AC$5)*'Equipe Técnica'!$C$13</f>
        <v>323.794534645131</v>
      </c>
      <c r="AC13" s="24" t="n">
        <f aca="false">(M13/$AC$5)*'Equipe Técnica'!$C$13</f>
        <v>323.794534645131</v>
      </c>
      <c r="AD13" s="24" t="n">
        <f aca="false">R13+(($V13+$W13+$X13+$Y13)*12/19)+$Z13</f>
        <v>473.517378385526</v>
      </c>
      <c r="AE13" s="24" t="n">
        <f aca="false">S13+(($V13+$W13+$X13+$Y13)*12/19)+$AA13</f>
        <v>551.028111957367</v>
      </c>
      <c r="AF13" s="24" t="n">
        <f aca="false">T13+(($V13+$W13+$X13+$Y13)*12/19)+$AB13</f>
        <v>512.272745171447</v>
      </c>
      <c r="AG13" s="24" t="n">
        <f aca="false">U13+(($V13+$W13+$X13+$Y13)*12/19)+$AC13</f>
        <v>512.272745171447</v>
      </c>
      <c r="AI13" s="22" t="str">
        <f aca="false">B13</f>
        <v>APS FAZENDA RIO GRANDE</v>
      </c>
      <c r="AJ13" s="67" t="n">
        <f aca="false">VLOOKUP(AI13,Unidades!D$5:H$27,5,)</f>
        <v>0.2223</v>
      </c>
      <c r="AK13" s="46" t="n">
        <f aca="false">AD13*(1+$AJ13)</f>
        <v>578.780291600628</v>
      </c>
      <c r="AL13" s="46" t="n">
        <f aca="false">AE13*(1+$AJ13)</f>
        <v>673.52166124549</v>
      </c>
      <c r="AM13" s="46" t="n">
        <f aca="false">AF13*(1+$AJ13)</f>
        <v>626.150976423059</v>
      </c>
      <c r="AN13" s="46" t="n">
        <f aca="false">AG13*(1+$AJ13)</f>
        <v>626.150976423059</v>
      </c>
      <c r="AO13" s="46" t="n">
        <f aca="false">((AK13*12)+(AL13*4)+(AM13*2)+AN13)/12</f>
        <v>959.825256121556</v>
      </c>
      <c r="AP13" s="46" t="n">
        <f aca="false">AO13*3</f>
        <v>2879.47576836467</v>
      </c>
      <c r="AQ13" s="46" t="n">
        <f aca="false">AO13+AP13</f>
        <v>3839.30102448622</v>
      </c>
      <c r="AR13" s="68"/>
      <c r="AS13" s="71" t="s">
        <v>90</v>
      </c>
      <c r="AT13" s="46" t="n">
        <f aca="false">AT12*12</f>
        <v>1169491.62130208</v>
      </c>
      <c r="AU13" s="46"/>
      <c r="AV13" s="70"/>
      <c r="AW13" s="70"/>
    </row>
    <row r="14" s="2" customFormat="true" ht="15" hidden="false" customHeight="true" outlineLevel="0" collapsed="false">
      <c r="B14" s="62" t="s">
        <v>91</v>
      </c>
      <c r="C14" s="63" t="n">
        <f aca="false">VLOOKUP($B14,Unidades!$D$5:$N$27,6,FALSE())</f>
        <v>334.4</v>
      </c>
      <c r="D14" s="63" t="n">
        <f aca="false">VLOOKUP($B14,Unidades!$D$5:$N$27,7,FALSE())</f>
        <v>296</v>
      </c>
      <c r="E14" s="63" t="n">
        <f aca="false">VLOOKUP($B14,Unidades!$D$5:$N$27,8,FALSE())</f>
        <v>38.4</v>
      </c>
      <c r="F14" s="63" t="n">
        <f aca="false">VLOOKUP($B14,Unidades!$D$5:$N$27,9,FALSE())</f>
        <v>0</v>
      </c>
      <c r="G14" s="63" t="n">
        <f aca="false">D14+E14*$E$6+F14*$F$6</f>
        <v>309.44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VLOOKUP($B14,Unidades!$D$5:$N$27,10,FALSE())</f>
        <v>NÃO</v>
      </c>
      <c r="K14" s="64" t="str">
        <f aca="false">VLOOKUP($B14,Unidades!$D$5:$N$27,11,FALSE())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N14*(C$33+D$33),N14*(C$33+D$33)+(M14*+E$33))</f>
        <v>1873.2195</v>
      </c>
      <c r="P14" s="66"/>
      <c r="Q14" s="22" t="str">
        <f aca="false">B14</f>
        <v>APS ITAPERUÇU</v>
      </c>
      <c r="R14" s="24" t="n">
        <f aca="false">H14*($C$33+$D$33)</f>
        <v>93.195</v>
      </c>
      <c r="S14" s="24" t="n">
        <f aca="false">I14*($C$33+$D$33)</f>
        <v>111.834</v>
      </c>
      <c r="T14" s="24" t="n">
        <f aca="false">L14*($C$33+$D$33)</f>
        <v>102.5145</v>
      </c>
      <c r="U14" s="24" t="n">
        <f aca="false">IF(K14="não",M14*($C$33+$D$33),M14*(C$33+D$33+E$33))</f>
        <v>102.5145</v>
      </c>
      <c r="V14" s="24" t="n">
        <f aca="false">VLOOKUP(Q14,'Desl. Base Curitiba'!$C$5:$S$27,13,FALSE())*($C$33+$D$33+$E$33*(VLOOKUP(Q14,'Desl. Base Curitiba'!$C$5:$S$27,17,FALSE())/12))</f>
        <v>67.3075</v>
      </c>
      <c r="W14" s="24" t="n">
        <f aca="false">VLOOKUP(Q14,'Desl. Base Curitiba'!$C$5:$S$27,15,FALSE())*(2+(VLOOKUP(Q14,'Desl. Base Curitiba'!$C$5:$S$27,17,FALSE())/12))</f>
        <v>0</v>
      </c>
      <c r="X14" s="24" t="n">
        <f aca="false">VLOOKUP(Q14,'Desl. Base Curitiba'!$C$5:$Q$29,14,FALSE())</f>
        <v>0</v>
      </c>
      <c r="Y14" s="24" t="n">
        <f aca="false">VLOOKUP(Q14,'Desl. Base Curitiba'!$C$5:$Q$29,13,FALSE())*'Desl. Base Curitiba'!$E$32+'Desl. Base Curitiba'!$E$33*N14/12</f>
        <v>74.5427083333333</v>
      </c>
      <c r="Z14" s="24" t="n">
        <f aca="false">(H14/$AC$5)*'Equipe Técnica'!$C$13</f>
        <v>294.35866785921</v>
      </c>
      <c r="AA14" s="24" t="n">
        <f aca="false">(I14/$AC$5)*'Equipe Técnica'!$C$13</f>
        <v>353.230401431052</v>
      </c>
      <c r="AB14" s="24" t="n">
        <f aca="false">(L14/$AC$5)*'Equipe Técnica'!$C$13</f>
        <v>323.794534645131</v>
      </c>
      <c r="AC14" s="24" t="n">
        <f aca="false">(M14/$AC$5)*'Equipe Técnica'!$C$13</f>
        <v>323.794534645131</v>
      </c>
      <c r="AD14" s="24" t="n">
        <f aca="false">R14+(($V14+$W14+$X14+$Y14)*12/19)+$Z14</f>
        <v>477.143273122368</v>
      </c>
      <c r="AE14" s="24" t="n">
        <f aca="false">S14+(($V14+$W14+$X14+$Y14)*12/19)+$AA14</f>
        <v>554.65400669421</v>
      </c>
      <c r="AF14" s="24" t="n">
        <f aca="false">T14+(($V14+$W14+$X14+$Y14)*12/19)+$AB14</f>
        <v>515.898639908289</v>
      </c>
      <c r="AG14" s="24" t="n">
        <f aca="false">U14+(($V14+$W14+$X14+$Y14)*12/19)+$AC14</f>
        <v>515.898639908289</v>
      </c>
      <c r="AI14" s="22" t="str">
        <f aca="false">B14</f>
        <v>APS ITAPERUÇU</v>
      </c>
      <c r="AJ14" s="67" t="n">
        <f aca="false">VLOOKUP(AI14,Unidades!D$5:H$27,5,)</f>
        <v>0.2288</v>
      </c>
      <c r="AK14" s="46" t="n">
        <f aca="false">AD14*(1+$AJ14)</f>
        <v>586.313654012765</v>
      </c>
      <c r="AL14" s="46" t="n">
        <f aca="false">AE14*(1+$AJ14)</f>
        <v>681.558843425845</v>
      </c>
      <c r="AM14" s="46" t="n">
        <f aca="false">AF14*(1+$AJ14)</f>
        <v>633.936248719305</v>
      </c>
      <c r="AN14" s="46" t="n">
        <f aca="false">AG14*(1+$AJ14)</f>
        <v>633.936248719305</v>
      </c>
      <c r="AO14" s="46" t="n">
        <f aca="false">((AK14*12)+(AL14*4)+(AM14*2)+AN14)/12</f>
        <v>971.98399733454</v>
      </c>
      <c r="AP14" s="46" t="n">
        <f aca="false">AO14*3</f>
        <v>2915.95199200362</v>
      </c>
      <c r="AQ14" s="46" t="n">
        <f aca="false">AO14+AP14</f>
        <v>3887.93598933816</v>
      </c>
      <c r="AR14" s="68"/>
      <c r="AS14" s="71" t="s">
        <v>92</v>
      </c>
      <c r="AT14" s="46" t="n">
        <f aca="false">AT10+AT12</f>
        <v>129943.513478009</v>
      </c>
      <c r="AU14" s="46"/>
      <c r="AV14" s="70"/>
      <c r="AW14" s="70"/>
    </row>
    <row r="15" s="2" customFormat="true" ht="15" hidden="false" customHeight="true" outlineLevel="0" collapsed="false">
      <c r="B15" s="62" t="s">
        <v>93</v>
      </c>
      <c r="C15" s="63" t="n">
        <f aca="false">VLOOKUP($B15,Unidades!$D$5:$N$27,6,FALSE())</f>
        <v>334.4</v>
      </c>
      <c r="D15" s="63" t="n">
        <f aca="false">VLOOKUP($B15,Unidades!$D$5:$N$27,7,FALSE())</f>
        <v>296</v>
      </c>
      <c r="E15" s="63" t="n">
        <f aca="false">VLOOKUP($B15,Unidades!$D$5:$N$27,8,FALSE())</f>
        <v>38.4</v>
      </c>
      <c r="F15" s="63" t="n">
        <f aca="false">VLOOKUP($B15,Unidades!$D$5:$N$27,9,FALSE())</f>
        <v>0</v>
      </c>
      <c r="G15" s="63" t="n">
        <f aca="false">D15+E15*$E$6+F15*$F$6</f>
        <v>309.44</v>
      </c>
      <c r="H15" s="64" t="n">
        <f aca="false">IF(G15&lt;750,1.5,IF(G15&lt;2000,2,3))</f>
        <v>1.5</v>
      </c>
      <c r="I15" s="64" t="n">
        <f aca="false">$I$6*H15</f>
        <v>1.8</v>
      </c>
      <c r="J15" s="64" t="str">
        <f aca="false">VLOOKUP($B15,Unidades!$D$5:$N$27,10,FALSE())</f>
        <v>NÃO</v>
      </c>
      <c r="K15" s="64" t="str">
        <f aca="false">VLOOKUP($B15,Unidades!$D$5:$N$27,11,FALSE())</f>
        <v>NÃO</v>
      </c>
      <c r="L15" s="64" t="n">
        <f aca="false">$L$6*H15+(IF(J15="SIM",$J$6,0))</f>
        <v>1.65</v>
      </c>
      <c r="M15" s="64" t="n">
        <f aca="false">$M$6*H15+(IF(J15="SIM",$J$6,0))+(IF(K15="SIM",$K$6,0))</f>
        <v>1.65</v>
      </c>
      <c r="N15" s="64" t="n">
        <f aca="false">H15*12+I15*4+L15*2+M15</f>
        <v>30.15</v>
      </c>
      <c r="O15" s="65" t="n">
        <f aca="false">IF(K15="não", N15*(C$33+D$33),N15*(C$33+D$33)+(M15*+E$33))</f>
        <v>1873.2195</v>
      </c>
      <c r="P15" s="66"/>
      <c r="Q15" s="22" t="str">
        <f aca="false">B15</f>
        <v>APS LAPA</v>
      </c>
      <c r="R15" s="24" t="n">
        <f aca="false">H15*($C$33+$D$33)</f>
        <v>93.195</v>
      </c>
      <c r="S15" s="24" t="n">
        <f aca="false">I15*($C$33+$D$33)</f>
        <v>111.834</v>
      </c>
      <c r="T15" s="24" t="n">
        <f aca="false">L15*($C$33+$D$33)</f>
        <v>102.5145</v>
      </c>
      <c r="U15" s="24" t="n">
        <f aca="false">IF(K15="não",M15*($C$33+$D$33),M15*(C$33+D$33+E$33))</f>
        <v>102.5145</v>
      </c>
      <c r="V15" s="24" t="n">
        <f aca="false">VLOOKUP(Q15,'Desl. Base Curitiba'!$C$5:$S$27,13,FALSE())*($C$33+$D$33+$E$33*(VLOOKUP(Q15,'Desl. Base Curitiba'!$C$5:$S$27,17,FALSE())/12))</f>
        <v>94.2305</v>
      </c>
      <c r="W15" s="24" t="n">
        <f aca="false">VLOOKUP(Q15,'Desl. Base Curitiba'!$C$5:$S$27,15,FALSE())*(2+(VLOOKUP(Q15,'Desl. Base Curitiba'!$C$5:$S$27,17,FALSE())/12))</f>
        <v>0</v>
      </c>
      <c r="X15" s="24" t="n">
        <f aca="false">VLOOKUP(Q15,'Desl. Base Curitiba'!$C$5:$Q$29,14,FALSE())</f>
        <v>0</v>
      </c>
      <c r="Y15" s="24" t="n">
        <f aca="false">VLOOKUP(Q15,'Desl. Base Curitiba'!$C$5:$Q$29,13,FALSE())*'Desl. Base Curitiba'!$E$32+'Desl. Base Curitiba'!$E$33*N15/12</f>
        <v>97.3750416666667</v>
      </c>
      <c r="Z15" s="24" t="n">
        <f aca="false">(H15/$AC$5)*'Equipe Técnica'!$C$13</f>
        <v>294.35866785921</v>
      </c>
      <c r="AA15" s="24" t="n">
        <f aca="false">(I15/$AC$5)*'Equipe Técnica'!$C$13</f>
        <v>353.230401431052</v>
      </c>
      <c r="AB15" s="24" t="n">
        <f aca="false">(L15/$AC$5)*'Equipe Técnica'!$C$13</f>
        <v>323.794534645131</v>
      </c>
      <c r="AC15" s="24" t="n">
        <f aca="false">(M15/$AC$5)*'Equipe Técnica'!$C$13</f>
        <v>323.794534645131</v>
      </c>
      <c r="AD15" s="24" t="n">
        <f aca="false">R15+(($V15+$W15+$X15+$Y15)*12/19)+$Z15</f>
        <v>508.567694174999</v>
      </c>
      <c r="AE15" s="24" t="n">
        <f aca="false">S15+(($V15+$W15+$X15+$Y15)*12/19)+$AA15</f>
        <v>586.078427746841</v>
      </c>
      <c r="AF15" s="24" t="n">
        <f aca="false">T15+(($V15+$W15+$X15+$Y15)*12/19)+$AB15</f>
        <v>547.32306096092</v>
      </c>
      <c r="AG15" s="24" t="n">
        <f aca="false">U15+(($V15+$W15+$X15+$Y15)*12/19)+$AC15</f>
        <v>547.32306096092</v>
      </c>
      <c r="AI15" s="22" t="str">
        <f aca="false">B15</f>
        <v>APS LAPA</v>
      </c>
      <c r="AJ15" s="67" t="n">
        <f aca="false">VLOOKUP(AI15,Unidades!D$5:H$27,5,)</f>
        <v>0.2223</v>
      </c>
      <c r="AK15" s="46" t="n">
        <f aca="false">AD15*(1+$AJ15)</f>
        <v>621.622292590101</v>
      </c>
      <c r="AL15" s="46" t="n">
        <f aca="false">AE15*(1+$AJ15)</f>
        <v>716.363662234964</v>
      </c>
      <c r="AM15" s="46" t="n">
        <f aca="false">AF15*(1+$AJ15)</f>
        <v>668.992977412533</v>
      </c>
      <c r="AN15" s="46" t="n">
        <f aca="false">AG15*(1+$AJ15)</f>
        <v>668.992977412533</v>
      </c>
      <c r="AO15" s="46" t="n">
        <f aca="false">((AK15*12)+(AL15*4)+(AM15*2)+AN15)/12</f>
        <v>1027.65842435489</v>
      </c>
      <c r="AP15" s="46" t="n">
        <f aca="false">AO15*3</f>
        <v>3082.97527306467</v>
      </c>
      <c r="AQ15" s="46" t="n">
        <f aca="false">AO15+AP15</f>
        <v>4110.63369741956</v>
      </c>
      <c r="AR15" s="68"/>
      <c r="AS15" s="71" t="s">
        <v>94</v>
      </c>
      <c r="AT15" s="46" t="n">
        <f aca="false">AT11+AT13</f>
        <v>1559322.16173611</v>
      </c>
      <c r="AU15" s="46"/>
      <c r="AV15" s="68"/>
      <c r="AW15" s="68"/>
    </row>
    <row r="16" s="2" customFormat="true" ht="15" hidden="false" customHeight="true" outlineLevel="0" collapsed="false">
      <c r="B16" s="62" t="s">
        <v>95</v>
      </c>
      <c r="C16" s="63" t="n">
        <f aca="false">VLOOKUP($B16,Unidades!$D$5:$N$27,6,FALSE())</f>
        <v>334.4</v>
      </c>
      <c r="D16" s="63" t="n">
        <f aca="false">VLOOKUP($B16,Unidades!$D$5:$N$27,7,FALSE())</f>
        <v>296</v>
      </c>
      <c r="E16" s="63" t="n">
        <f aca="false">VLOOKUP($B16,Unidades!$D$5:$N$27,8,FALSE())</f>
        <v>38.4</v>
      </c>
      <c r="F16" s="63" t="n">
        <f aca="false">VLOOKUP($B16,Unidades!$D$5:$N$27,9,FALSE())</f>
        <v>0</v>
      </c>
      <c r="G16" s="63" t="n">
        <f aca="false">D16+E16*$E$6+F16*$F$6</f>
        <v>309.44</v>
      </c>
      <c r="H16" s="64" t="n">
        <f aca="false">IF(G16&lt;750,1.5,IF(G16&lt;2000,2,3))</f>
        <v>1.5</v>
      </c>
      <c r="I16" s="64" t="n">
        <f aca="false">$I$6*H16</f>
        <v>1.8</v>
      </c>
      <c r="J16" s="64" t="str">
        <f aca="false">VLOOKUP($B16,Unidades!$D$5:$N$27,10,FALSE())</f>
        <v>NÃO</v>
      </c>
      <c r="K16" s="64" t="str">
        <f aca="false">VLOOKUP($B16,Unidades!$D$5:$N$27,11,FALSE())</f>
        <v>NÃO</v>
      </c>
      <c r="L16" s="64" t="n">
        <f aca="false">$L$6*H16+(IF(J16="SIM",$J$6,0))</f>
        <v>1.65</v>
      </c>
      <c r="M16" s="64" t="n">
        <f aca="false">$M$6*H16+(IF(J16="SIM",$J$6,0))+(IF(K16="SIM",$K$6,0))</f>
        <v>1.65</v>
      </c>
      <c r="N16" s="64" t="n">
        <f aca="false">H16*12+I16*4+L16*2+M16</f>
        <v>30.15</v>
      </c>
      <c r="O16" s="65" t="n">
        <f aca="false">IF(K16="não", N16*(C$33+D$33),N16*(C$33+D$33)+(M16*+E$33))</f>
        <v>1873.2195</v>
      </c>
      <c r="P16" s="66"/>
      <c r="Q16" s="22" t="str">
        <f aca="false">B16</f>
        <v>APS MANDIRITUBA</v>
      </c>
      <c r="R16" s="24" t="n">
        <f aca="false">H16*($C$33+$D$33)</f>
        <v>93.195</v>
      </c>
      <c r="S16" s="24" t="n">
        <f aca="false">I16*($C$33+$D$33)</f>
        <v>111.834</v>
      </c>
      <c r="T16" s="24" t="n">
        <f aca="false">L16*($C$33+$D$33)</f>
        <v>102.5145</v>
      </c>
      <c r="U16" s="24" t="n">
        <f aca="false">IF(K16="não",M16*($C$33+$D$33),M16*(C$33+D$33+E$33))</f>
        <v>102.5145</v>
      </c>
      <c r="V16" s="24" t="n">
        <f aca="false">VLOOKUP(Q16,'Desl. Base Curitiba'!$C$5:$S$27,13,FALSE())*($C$33+$D$33+$E$33*(VLOOKUP(Q16,'Desl. Base Curitiba'!$C$5:$S$27,17,FALSE())/12))</f>
        <v>64.201</v>
      </c>
      <c r="W16" s="24" t="n">
        <f aca="false">VLOOKUP(Q16,'Desl. Base Curitiba'!$C$5:$S$27,15,FALSE())*(2+(VLOOKUP(Q16,'Desl. Base Curitiba'!$C$5:$S$27,17,FALSE())/12))</f>
        <v>0</v>
      </c>
      <c r="X16" s="24" t="n">
        <f aca="false">VLOOKUP(Q16,'Desl. Base Curitiba'!$C$5:$Q$29,14,FALSE())</f>
        <v>0</v>
      </c>
      <c r="Y16" s="24" t="n">
        <f aca="false">VLOOKUP(Q16,'Desl. Base Curitiba'!$C$5:$Q$29,13,FALSE())*'Desl. Base Curitiba'!$E$32+'Desl. Base Curitiba'!$E$33*N16/12</f>
        <v>71.9082083333333</v>
      </c>
      <c r="Z16" s="24" t="n">
        <f aca="false">(H16/$AC$5)*'Equipe Técnica'!$C$13</f>
        <v>294.35866785921</v>
      </c>
      <c r="AA16" s="24" t="n">
        <f aca="false">(I16/$AC$5)*'Equipe Técnica'!$C$13</f>
        <v>353.230401431052</v>
      </c>
      <c r="AB16" s="24" t="n">
        <f aca="false">(L16/$AC$5)*'Equipe Técnica'!$C$13</f>
        <v>323.794534645131</v>
      </c>
      <c r="AC16" s="24" t="n">
        <f aca="false">(M16/$AC$5)*'Equipe Técnica'!$C$13</f>
        <v>323.794534645131</v>
      </c>
      <c r="AD16" s="24" t="n">
        <f aca="false">R16+(($V16+$W16+$X16+$Y16)*12/19)+$Z16</f>
        <v>473.517378385526</v>
      </c>
      <c r="AE16" s="24" t="n">
        <f aca="false">S16+(($V16+$W16+$X16+$Y16)*12/19)+$AA16</f>
        <v>551.028111957367</v>
      </c>
      <c r="AF16" s="24" t="n">
        <f aca="false">T16+(($V16+$W16+$X16+$Y16)*12/19)+$AB16</f>
        <v>512.272745171447</v>
      </c>
      <c r="AG16" s="24" t="n">
        <f aca="false">U16+(($V16+$W16+$X16+$Y16)*12/19)+$AC16</f>
        <v>512.272745171447</v>
      </c>
      <c r="AI16" s="22" t="str">
        <f aca="false">B16</f>
        <v>APS MANDIRITUBA</v>
      </c>
      <c r="AJ16" s="67" t="n">
        <f aca="false">VLOOKUP(AI16,Unidades!D$5:H$27,5,)</f>
        <v>0.2223</v>
      </c>
      <c r="AK16" s="46" t="n">
        <f aca="false">AD16*(1+$AJ16)</f>
        <v>578.780291600628</v>
      </c>
      <c r="AL16" s="46" t="n">
        <f aca="false">AE16*(1+$AJ16)</f>
        <v>673.52166124549</v>
      </c>
      <c r="AM16" s="46" t="n">
        <f aca="false">AF16*(1+$AJ16)</f>
        <v>626.150976423059</v>
      </c>
      <c r="AN16" s="46" t="n">
        <f aca="false">AG16*(1+$AJ16)</f>
        <v>626.150976423059</v>
      </c>
      <c r="AO16" s="46" t="n">
        <f aca="false">((AK16*12)+(AL16*4)+(AM16*2)+AN16)/12</f>
        <v>959.825256121556</v>
      </c>
      <c r="AP16" s="46" t="n">
        <f aca="false">AO16*3</f>
        <v>2879.47576836467</v>
      </c>
      <c r="AQ16" s="46" t="n">
        <f aca="false">AO16+AP16</f>
        <v>3839.30102448622</v>
      </c>
      <c r="AR16" s="68"/>
      <c r="AS16" s="68"/>
      <c r="AT16" s="68"/>
      <c r="AU16" s="68"/>
      <c r="AV16" s="68"/>
      <c r="AW16" s="68"/>
    </row>
    <row r="17" s="2" customFormat="true" ht="15" hidden="false" customHeight="true" outlineLevel="0" collapsed="false">
      <c r="B17" s="62" t="s">
        <v>96</v>
      </c>
      <c r="C17" s="63" t="n">
        <f aca="false">VLOOKUP($B17,Unidades!$D$5:$N$27,6,FALSE())</f>
        <v>2476.62</v>
      </c>
      <c r="D17" s="63" t="n">
        <f aca="false">VLOOKUP($B17,Unidades!$D$5:$N$27,7,FALSE())</f>
        <v>825.54</v>
      </c>
      <c r="E17" s="63" t="n">
        <f aca="false">VLOOKUP($B17,Unidades!$D$5:$N$27,8,FALSE())</f>
        <v>825.54</v>
      </c>
      <c r="F17" s="63" t="n">
        <f aca="false">VLOOKUP($B17,Unidades!$D$5:$N$27,9,FALSE())</f>
        <v>825.54</v>
      </c>
      <c r="G17" s="63" t="n">
        <f aca="false">D17+E17*$E$6+F17*$F$6</f>
        <v>1197.033</v>
      </c>
      <c r="H17" s="64" t="n">
        <f aca="false">IF(G17&lt;750,1.5,IF(G17&lt;2000,2,3))</f>
        <v>2</v>
      </c>
      <c r="I17" s="64" t="n">
        <f aca="false">$I$6*H17</f>
        <v>2.4</v>
      </c>
      <c r="J17" s="64" t="str">
        <f aca="false">VLOOKUP($B17,Unidades!$D$5:$N$27,10,FALSE())</f>
        <v>SIM</v>
      </c>
      <c r="K17" s="64" t="str">
        <f aca="false">VLOOKUP($B17,Unidades!$D$5:$N$27,11,FALSE())</f>
        <v>SIM</v>
      </c>
      <c r="L17" s="64" t="n">
        <f aca="false">$L$6*H17+(IF(J17="SIM",$J$6,0))</f>
        <v>4.2</v>
      </c>
      <c r="M17" s="64" t="n">
        <f aca="false">$M$6*H17+(IF(J17="SIM",$J$6,0))+(IF(K17="SIM",$K$6,0))</f>
        <v>8.2</v>
      </c>
      <c r="N17" s="64" t="n">
        <f aca="false">H17*12+I17*4+L17*2+M17</f>
        <v>50.2</v>
      </c>
      <c r="O17" s="65" t="n">
        <f aca="false">IF(K17="não", N17*(C$33+D$33),N17*(C$33+D$33)+(M17*+E$33))</f>
        <v>3455.946</v>
      </c>
      <c r="P17" s="66"/>
      <c r="Q17" s="22" t="str">
        <f aca="false">B17</f>
        <v>APS PARANAGUÁ</v>
      </c>
      <c r="R17" s="24" t="n">
        <f aca="false">H17*($C$33+$D$33)</f>
        <v>124.26</v>
      </c>
      <c r="S17" s="24" t="n">
        <f aca="false">I17*($C$33+$D$33)</f>
        <v>149.112</v>
      </c>
      <c r="T17" s="24" t="n">
        <f aca="false">L17*($C$33+$D$33)</f>
        <v>260.946</v>
      </c>
      <c r="U17" s="24" t="n">
        <f aca="false">IF(K17="não",M17*($C$33+$D$33),M17*(C$33+D$33+E$33))</f>
        <v>846.486</v>
      </c>
      <c r="V17" s="24" t="n">
        <f aca="false">VLOOKUP(Q17,'Desl. Base Curitiba'!$C$5:$S$27,13,FALSE())*($C$33+$D$33+$E$33*(VLOOKUP(Q17,'Desl. Base Curitiba'!$C$5:$S$27,17,FALSE())/12))</f>
        <v>129.471125</v>
      </c>
      <c r="W17" s="24" t="n">
        <f aca="false">VLOOKUP(Q17,'Desl. Base Curitiba'!$C$5:$S$27,15,FALSE())*(2+(VLOOKUP(Q17,'Desl. Base Curitiba'!$C$5:$S$27,17,FALSE())/12))</f>
        <v>0</v>
      </c>
      <c r="X17" s="24" t="n">
        <f aca="false">VLOOKUP(Q17,'Desl. Base Curitiba'!$C$5:$Q$29,14,FALSE())</f>
        <v>0</v>
      </c>
      <c r="Y17" s="24" t="n">
        <f aca="false">VLOOKUP(Q17,'Desl. Base Curitiba'!$C$5:$Q$29,13,FALSE())*'Desl. Base Curitiba'!$E$32+'Desl. Base Curitiba'!$E$33*N17/12</f>
        <v>133.136916666667</v>
      </c>
      <c r="Z17" s="24" t="n">
        <f aca="false">(H17/$AC$5)*'Equipe Técnica'!$C$13</f>
        <v>392.47822381228</v>
      </c>
      <c r="AA17" s="24" t="n">
        <f aca="false">(I17/$AC$5)*'Equipe Técnica'!$C$13</f>
        <v>470.973868574736</v>
      </c>
      <c r="AB17" s="24" t="n">
        <f aca="false">(L17/$AC$5)*'Equipe Técnica'!$C$13</f>
        <v>824.204270005787</v>
      </c>
      <c r="AC17" s="24" t="n">
        <f aca="false">(M17/$AC$5)*'Equipe Técnica'!$C$13</f>
        <v>1609.16071763035</v>
      </c>
      <c r="AD17" s="24" t="n">
        <f aca="false">R17+(($V17+$W17+$X17+$Y17)*12/19)+$Z17</f>
        <v>682.595934338596</v>
      </c>
      <c r="AE17" s="24" t="n">
        <f aca="false">S17+(($V17+$W17+$X17+$Y17)*12/19)+$AA17</f>
        <v>785.943579101052</v>
      </c>
      <c r="AF17" s="24" t="n">
        <f aca="false">T17+(($V17+$W17+$X17+$Y17)*12/19)+$AB17</f>
        <v>1251.0079805321</v>
      </c>
      <c r="AG17" s="24" t="n">
        <f aca="false">U17+(($V17+$W17+$X17+$Y17)*12/19)+$AC17</f>
        <v>2621.50442815666</v>
      </c>
      <c r="AI17" s="22" t="str">
        <f aca="false">B17</f>
        <v>APS PARANAGUÁ</v>
      </c>
      <c r="AJ17" s="67" t="n">
        <f aca="false">VLOOKUP(AI17,Unidades!D$5:H$27,5,)</f>
        <v>0.2487</v>
      </c>
      <c r="AK17" s="46" t="n">
        <f aca="false">AD17*(1+$AJ17)</f>
        <v>852.357543208604</v>
      </c>
      <c r="AL17" s="46" t="n">
        <f aca="false">AE17*(1+$AJ17)</f>
        <v>981.407747223483</v>
      </c>
      <c r="AM17" s="46" t="n">
        <f aca="false">AF17*(1+$AJ17)</f>
        <v>1562.13366529044</v>
      </c>
      <c r="AN17" s="46" t="n">
        <f aca="false">AG17*(1+$AJ17)</f>
        <v>3273.47257943922</v>
      </c>
      <c r="AO17" s="46" t="n">
        <f aca="false">((AK17*12)+(AL17*4)+(AM17*2)+AN17)/12</f>
        <v>1712.63845145144</v>
      </c>
      <c r="AP17" s="46" t="n">
        <f aca="false">AO17*3</f>
        <v>5137.91535435432</v>
      </c>
      <c r="AQ17" s="46" t="n">
        <f aca="false">AO17+AP17</f>
        <v>6850.55380580576</v>
      </c>
      <c r="AR17" s="68"/>
      <c r="AS17" s="68"/>
      <c r="AT17" s="68"/>
      <c r="AU17" s="68"/>
      <c r="AV17" s="68"/>
      <c r="AW17" s="68"/>
    </row>
    <row r="18" s="2" customFormat="true" ht="15" hidden="false" customHeight="true" outlineLevel="0" collapsed="false">
      <c r="B18" s="62" t="s">
        <v>97</v>
      </c>
      <c r="C18" s="63" t="n">
        <f aca="false">VLOOKUP($B18,Unidades!$D$5:$N$27,6,FALSE())</f>
        <v>334.4</v>
      </c>
      <c r="D18" s="63" t="n">
        <f aca="false">VLOOKUP($B18,Unidades!$D$5:$N$27,7,FALSE())</f>
        <v>296</v>
      </c>
      <c r="E18" s="63" t="n">
        <f aca="false">VLOOKUP($B18,Unidades!$D$5:$N$27,8,FALSE())</f>
        <v>38.4</v>
      </c>
      <c r="F18" s="63" t="n">
        <f aca="false">VLOOKUP($B18,Unidades!$D$5:$N$27,9,FALSE())</f>
        <v>0</v>
      </c>
      <c r="G18" s="63" t="n">
        <f aca="false">D18+E18*$E$6+F18*$F$6</f>
        <v>309.44</v>
      </c>
      <c r="H18" s="64" t="n">
        <f aca="false">IF(G18&lt;750,1.5,IF(G18&lt;2000,2,3))</f>
        <v>1.5</v>
      </c>
      <c r="I18" s="64" t="n">
        <f aca="false">$I$6*H18</f>
        <v>1.8</v>
      </c>
      <c r="J18" s="64" t="str">
        <f aca="false">VLOOKUP($B18,Unidades!$D$5:$N$27,10,FALSE())</f>
        <v>NÃO</v>
      </c>
      <c r="K18" s="64" t="str">
        <f aca="false">VLOOKUP($B18,Unidades!$D$5:$N$27,11,FALSE())</f>
        <v>NÃO</v>
      </c>
      <c r="L18" s="64" t="n">
        <f aca="false">$L$6*H18+(IF(J18="SIM",$J$6,0))</f>
        <v>1.65</v>
      </c>
      <c r="M18" s="64" t="n">
        <f aca="false">$M$6*H18+(IF(J18="SIM",$J$6,0))+(IF(K18="SIM",$K$6,0))</f>
        <v>1.65</v>
      </c>
      <c r="N18" s="64" t="n">
        <f aca="false">H18*12+I18*4+L18*2+M18</f>
        <v>30.15</v>
      </c>
      <c r="O18" s="65" t="n">
        <f aca="false">IF(K18="não", N18*(C$33+D$33),N18*(C$33+D$33)+(M18*+E$33))</f>
        <v>1873.2195</v>
      </c>
      <c r="P18" s="66"/>
      <c r="Q18" s="22" t="str">
        <f aca="false">B18</f>
        <v>APS PINHAIS</v>
      </c>
      <c r="R18" s="24" t="n">
        <f aca="false">H18*($C$33+$D$33)</f>
        <v>93.195</v>
      </c>
      <c r="S18" s="24" t="n">
        <f aca="false">I18*($C$33+$D$33)</f>
        <v>111.834</v>
      </c>
      <c r="T18" s="24" t="n">
        <f aca="false">L18*($C$33+$D$33)</f>
        <v>102.5145</v>
      </c>
      <c r="U18" s="24" t="n">
        <f aca="false">IF(K18="não",M18*($C$33+$D$33),M18*(C$33+D$33+E$33))</f>
        <v>102.5145</v>
      </c>
      <c r="V18" s="24" t="n">
        <f aca="false">VLOOKUP(Q18,'Desl. Base Curitiba'!$C$5:$S$27,13,FALSE())*($C$33+$D$33+$E$33*(VLOOKUP(Q18,'Desl. Base Curitiba'!$C$5:$S$27,17,FALSE())/12))</f>
        <v>129.471125</v>
      </c>
      <c r="W18" s="24" t="n">
        <f aca="false">VLOOKUP(Q18,'Desl. Base Curitiba'!$C$5:$S$27,15,FALSE())*(2+(VLOOKUP(Q18,'Desl. Base Curitiba'!$C$5:$S$27,17,FALSE())/12))</f>
        <v>0</v>
      </c>
      <c r="X18" s="24" t="n">
        <f aca="false">VLOOKUP(Q18,'Desl. Base Curitiba'!$C$5:$Q$29,14,FALSE())</f>
        <v>0</v>
      </c>
      <c r="Y18" s="24" t="n">
        <f aca="false">VLOOKUP(Q18,'Desl. Base Curitiba'!$C$5:$Q$29,13,FALSE())*'Desl. Base Curitiba'!$E$32+'Desl. Base Curitiba'!$E$33*N18/12</f>
        <v>121.524625</v>
      </c>
      <c r="Z18" s="24" t="n">
        <f aca="false">(H18/$AC$5)*'Equipe Técnica'!$C$13</f>
        <v>294.35866785921</v>
      </c>
      <c r="AA18" s="24" t="n">
        <f aca="false">(I18/$AC$5)*'Equipe Técnica'!$C$13</f>
        <v>353.230401431052</v>
      </c>
      <c r="AB18" s="24" t="n">
        <f aca="false">(L18/$AC$5)*'Equipe Técnica'!$C$13</f>
        <v>323.794534645131</v>
      </c>
      <c r="AC18" s="24" t="n">
        <f aca="false">(M18/$AC$5)*'Equipe Técnica'!$C$13</f>
        <v>323.794534645131</v>
      </c>
      <c r="AD18" s="24" t="n">
        <f aca="false">R18+(($V18+$W18+$X18+$Y18)*12/19)+$Z18</f>
        <v>546.077299438157</v>
      </c>
      <c r="AE18" s="24" t="n">
        <f aca="false">S18+(($V18+$W18+$X18+$Y18)*12/19)+$AA18</f>
        <v>623.588033009999</v>
      </c>
      <c r="AF18" s="24" t="n">
        <f aca="false">T18+(($V18+$W18+$X18+$Y18)*12/19)+$AB18</f>
        <v>584.832666224078</v>
      </c>
      <c r="AG18" s="24" t="n">
        <f aca="false">U18+(($V18+$W18+$X18+$Y18)*12/19)+$AC18</f>
        <v>584.832666224078</v>
      </c>
      <c r="AI18" s="22" t="str">
        <f aca="false">B18</f>
        <v>APS PINHAIS</v>
      </c>
      <c r="AJ18" s="67" t="n">
        <f aca="false">VLOOKUP(AI18,Unidades!D$5:H$27,5,)</f>
        <v>0.2223</v>
      </c>
      <c r="AK18" s="46" t="n">
        <f aca="false">AD18*(1+$AJ18)</f>
        <v>667.470283103259</v>
      </c>
      <c r="AL18" s="46" t="n">
        <f aca="false">AE18*(1+$AJ18)</f>
        <v>762.211652748122</v>
      </c>
      <c r="AM18" s="46" t="n">
        <f aca="false">AF18*(1+$AJ18)</f>
        <v>714.840967925691</v>
      </c>
      <c r="AN18" s="46" t="n">
        <f aca="false">AG18*(1+$AJ18)</f>
        <v>714.840967925691</v>
      </c>
      <c r="AO18" s="46" t="n">
        <f aca="false">((AK18*12)+(AL18*4)+(AM18*2)+AN18)/12</f>
        <v>1100.25107600072</v>
      </c>
      <c r="AP18" s="46" t="n">
        <f aca="false">AO18*3</f>
        <v>3300.75322800217</v>
      </c>
      <c r="AQ18" s="46" t="n">
        <f aca="false">AO18+AP18</f>
        <v>4401.00430400289</v>
      </c>
      <c r="AR18" s="68"/>
      <c r="AS18" s="68"/>
      <c r="AT18" s="68"/>
      <c r="AU18" s="68"/>
      <c r="AV18" s="68"/>
      <c r="AW18" s="68"/>
    </row>
    <row r="19" s="2" customFormat="true" ht="15" hidden="false" customHeight="true" outlineLevel="0" collapsed="false">
      <c r="B19" s="62" t="s">
        <v>98</v>
      </c>
      <c r="C19" s="63" t="n">
        <f aca="false">VLOOKUP($B19,Unidades!$D$5:$N$27,6,FALSE())</f>
        <v>898.03</v>
      </c>
      <c r="D19" s="63" t="n">
        <f aca="false">VLOOKUP($B19,Unidades!$D$5:$N$27,7,FALSE())</f>
        <v>609.03</v>
      </c>
      <c r="E19" s="63" t="n">
        <f aca="false">VLOOKUP($B19,Unidades!$D$5:$N$27,8,FALSE())</f>
        <v>289</v>
      </c>
      <c r="F19" s="63" t="n">
        <f aca="false">VLOOKUP($B19,Unidades!$D$5:$N$27,9,FALSE())</f>
        <v>0</v>
      </c>
      <c r="G19" s="63" t="n">
        <f aca="false">D19+E19*$E$6+F19*$F$6</f>
        <v>710.18</v>
      </c>
      <c r="H19" s="64" t="n">
        <f aca="false">IF(G19&lt;750,1.5,IF(G19&lt;2000,2,3))</f>
        <v>1.5</v>
      </c>
      <c r="I19" s="64" t="n">
        <f aca="false">$I$6*H19</f>
        <v>1.8</v>
      </c>
      <c r="J19" s="64" t="str">
        <f aca="false">VLOOKUP($B19,Unidades!$D$5:$N$27,10,FALSE())</f>
        <v>NÃO</v>
      </c>
      <c r="K19" s="64" t="str">
        <f aca="false">VLOOKUP($B19,Unidades!$D$5:$N$27,11,FALSE())</f>
        <v>NÃO</v>
      </c>
      <c r="L19" s="64" t="n">
        <f aca="false">$L$6*H19+(IF(J19="SIM",$J$6,0))</f>
        <v>1.65</v>
      </c>
      <c r="M19" s="64" t="n">
        <f aca="false">$M$6*H19+(IF(J19="SIM",$J$6,0))+(IF(K19="SIM",$K$6,0))</f>
        <v>1.65</v>
      </c>
      <c r="N19" s="64" t="n">
        <f aca="false">H19*12+I19*4+L19*2+M19</f>
        <v>30.15</v>
      </c>
      <c r="O19" s="65" t="n">
        <f aca="false">IF(K19="não", N19*(C$33+D$33),N19*(C$33+D$33)+(M19*+E$33))</f>
        <v>1873.2195</v>
      </c>
      <c r="P19" s="66"/>
      <c r="Q19" s="22" t="str">
        <f aca="false">B19</f>
        <v>APS SÃO JOSÉ DOS PINHAIS</v>
      </c>
      <c r="R19" s="24" t="n">
        <f aca="false">H19*($C$33+$D$33)</f>
        <v>93.195</v>
      </c>
      <c r="S19" s="24" t="n">
        <f aca="false">I19*($C$33+$D$33)</f>
        <v>111.834</v>
      </c>
      <c r="T19" s="24" t="n">
        <f aca="false">L19*($C$33+$D$33)</f>
        <v>102.5145</v>
      </c>
      <c r="U19" s="24" t="n">
        <f aca="false">IF(K19="não",M19*($C$33+$D$33),M19*(C$33+D$33+E$33))</f>
        <v>102.5145</v>
      </c>
      <c r="V19" s="24" t="n">
        <f aca="false">VLOOKUP(Q19,'Desl. Base Curitiba'!$C$5:$S$27,13,FALSE())*($C$33+$D$33+$E$33*(VLOOKUP(Q19,'Desl. Base Curitiba'!$C$5:$S$27,17,FALSE())/12))</f>
        <v>35.207</v>
      </c>
      <c r="W19" s="24" t="n">
        <f aca="false">VLOOKUP(Q19,'Desl. Base Curitiba'!$C$5:$S$27,15,FALSE())*(2+(VLOOKUP(Q19,'Desl. Base Curitiba'!$C$5:$S$27,17,FALSE())/12))</f>
        <v>0</v>
      </c>
      <c r="X19" s="24" t="n">
        <f aca="false">VLOOKUP(Q19,'Desl. Base Curitiba'!$C$5:$Q$29,14,FALSE())</f>
        <v>0</v>
      </c>
      <c r="Y19" s="24" t="n">
        <f aca="false">VLOOKUP(Q19,'Desl. Base Curitiba'!$C$5:$Q$29,13,FALSE())*'Desl. Base Curitiba'!$E$32+'Desl. Base Curitiba'!$E$33*N19/12</f>
        <v>47.3195416666667</v>
      </c>
      <c r="Z19" s="24" t="n">
        <f aca="false">(H19/$AC$5)*'Equipe Técnica'!$C$13</f>
        <v>294.35866785921</v>
      </c>
      <c r="AA19" s="24" t="n">
        <f aca="false">(I19/$AC$5)*'Equipe Técnica'!$C$13</f>
        <v>353.230401431052</v>
      </c>
      <c r="AB19" s="24" t="n">
        <f aca="false">(L19/$AC$5)*'Equipe Técnica'!$C$13</f>
        <v>323.794534645131</v>
      </c>
      <c r="AC19" s="24" t="n">
        <f aca="false">(M19/$AC$5)*'Equipe Técnica'!$C$13</f>
        <v>323.794534645131</v>
      </c>
      <c r="AD19" s="24" t="n">
        <f aca="false">R19+(($V19+$W19+$X19+$Y19)*12/19)+$Z19</f>
        <v>439.675694174999</v>
      </c>
      <c r="AE19" s="24" t="n">
        <f aca="false">S19+(($V19+$W19+$X19+$Y19)*12/19)+$AA19</f>
        <v>517.186427746841</v>
      </c>
      <c r="AF19" s="24" t="n">
        <f aca="false">T19+(($V19+$W19+$X19+$Y19)*12/19)+$AB19</f>
        <v>478.43106096092</v>
      </c>
      <c r="AG19" s="24" t="n">
        <f aca="false">U19+(($V19+$W19+$X19+$Y19)*12/19)+$AC19</f>
        <v>478.43106096092</v>
      </c>
      <c r="AI19" s="22" t="str">
        <f aca="false">B19</f>
        <v>APS SÃO JOSÉ DOS PINHAIS</v>
      </c>
      <c r="AJ19" s="67" t="n">
        <f aca="false">VLOOKUP(AI19,Unidades!D$5:H$27,5,)</f>
        <v>0.2624</v>
      </c>
      <c r="AK19" s="46" t="n">
        <f aca="false">AD19*(1+$AJ19)</f>
        <v>555.046596326519</v>
      </c>
      <c r="AL19" s="46" t="n">
        <f aca="false">AE19*(1+$AJ19)</f>
        <v>652.896146387612</v>
      </c>
      <c r="AM19" s="46" t="n">
        <f aca="false">AF19*(1+$AJ19)</f>
        <v>603.971371357066</v>
      </c>
      <c r="AN19" s="46" t="n">
        <f aca="false">AG19*(1+$AJ19)</f>
        <v>603.971371357066</v>
      </c>
      <c r="AO19" s="46" t="n">
        <f aca="false">((AK19*12)+(AL19*4)+(AM19*2)+AN19)/12</f>
        <v>923.671487961656</v>
      </c>
      <c r="AP19" s="46" t="n">
        <f aca="false">AO19*3</f>
        <v>2771.01446388497</v>
      </c>
      <c r="AQ19" s="46" t="n">
        <f aca="false">AO19+AP19</f>
        <v>3694.68595184662</v>
      </c>
      <c r="AR19" s="68"/>
      <c r="AS19" s="68"/>
      <c r="AT19" s="68"/>
      <c r="AU19" s="68"/>
      <c r="AV19" s="68"/>
      <c r="AW19" s="68"/>
    </row>
    <row r="20" s="2" customFormat="true" ht="15" hidden="false" customHeight="true" outlineLevel="0" collapsed="false">
      <c r="B20" s="62" t="s">
        <v>99</v>
      </c>
      <c r="C20" s="63" t="n">
        <f aca="false">VLOOKUP($B20,Unidades!$D$5:$N$27,6,FALSE())</f>
        <v>3170.62</v>
      </c>
      <c r="D20" s="63" t="n">
        <f aca="false">VLOOKUP($B20,Unidades!$D$5:$N$27,7,FALSE())</f>
        <v>150</v>
      </c>
      <c r="E20" s="63" t="n">
        <f aca="false">VLOOKUP($B20,Unidades!$D$5:$N$27,8,FALSE())</f>
        <v>3020.62</v>
      </c>
      <c r="F20" s="63" t="n">
        <f aca="false">VLOOKUP($B20,Unidades!$D$5:$N$27,9,FALSE())</f>
        <v>0</v>
      </c>
      <c r="G20" s="63" t="n">
        <f aca="false">D20+E20*$E$6+F20*$F$6</f>
        <v>1207.217</v>
      </c>
      <c r="H20" s="64" t="n">
        <f aca="false">IF(G20&lt;750,1.5,IF(G20&lt;2000,2,3))</f>
        <v>2</v>
      </c>
      <c r="I20" s="64" t="n">
        <f aca="false">$I$6*H20</f>
        <v>2.4</v>
      </c>
      <c r="J20" s="64" t="str">
        <f aca="false">VLOOKUP($B20,Unidades!$D$5:$N$27,10,FALSE())</f>
        <v>NÃO</v>
      </c>
      <c r="K20" s="64" t="str">
        <f aca="false">VLOOKUP($B20,Unidades!$D$5:$N$27,11,FALSE())</f>
        <v>NÃO</v>
      </c>
      <c r="L20" s="64" t="n">
        <f aca="false">$L$6*H20+(IF(J20="SIM",$J$6,0))</f>
        <v>2.2</v>
      </c>
      <c r="M20" s="64" t="n">
        <f aca="false">$M$6*H20+(IF(J20="SIM",$J$6,0))+(IF(K20="SIM",$K$6,0))</f>
        <v>2.2</v>
      </c>
      <c r="N20" s="64" t="n">
        <f aca="false">H20*12+I20*4+L20*2+M20</f>
        <v>40.2</v>
      </c>
      <c r="O20" s="65" t="n">
        <f aca="false">IF(K20="não", N20*(C$33+D$33),N20*(C$33+D$33)+(M20*+E$33))</f>
        <v>2497.626</v>
      </c>
      <c r="P20" s="66"/>
      <c r="Q20" s="22" t="str">
        <f aca="false">B20</f>
        <v>CEDOCPREV CURITIBA</v>
      </c>
      <c r="R20" s="24" t="n">
        <f aca="false">H20*($C$33+$D$33)</f>
        <v>124.26</v>
      </c>
      <c r="S20" s="24" t="n">
        <f aca="false">I20*($C$33+$D$33)</f>
        <v>149.112</v>
      </c>
      <c r="T20" s="24" t="n">
        <f aca="false">L20*($C$33+$D$33)</f>
        <v>136.686</v>
      </c>
      <c r="U20" s="24" t="n">
        <f aca="false">IF(K20="não",M20*($C$33+$D$33),M20*(C$33+D$33+E$33))</f>
        <v>136.686</v>
      </c>
      <c r="V20" s="24" t="n">
        <f aca="false">VLOOKUP(Q20,'Desl. Base Curitiba'!$C$5:$S$27,13,FALSE())*($C$33+$D$33+$E$33*(VLOOKUP(Q20,'Desl. Base Curitiba'!$C$5:$S$27,17,FALSE())/12))</f>
        <v>44.5265</v>
      </c>
      <c r="W20" s="24" t="n">
        <f aca="false">VLOOKUP(Q20,'Desl. Base Curitiba'!$C$5:$S$27,15,FALSE())*(2+(VLOOKUP(Q20,'Desl. Base Curitiba'!$C$5:$S$27,17,FALSE())/12))</f>
        <v>0</v>
      </c>
      <c r="X20" s="24" t="n">
        <f aca="false">VLOOKUP(Q20,'Desl. Base Curitiba'!$C$5:$Q$29,14,FALSE())</f>
        <v>0</v>
      </c>
      <c r="Y20" s="24" t="n">
        <f aca="false">VLOOKUP(Q20,'Desl. Base Curitiba'!$C$5:$Q$29,13,FALSE())*'Desl. Base Curitiba'!$E$32+'Desl. Base Curitiba'!$E$33*N20/12</f>
        <v>61.0436666666667</v>
      </c>
      <c r="Z20" s="24" t="n">
        <f aca="false">(H20/$AC$5)*'Equipe Técnica'!$C$13</f>
        <v>392.47822381228</v>
      </c>
      <c r="AA20" s="24" t="n">
        <f aca="false">(I20/$AC$5)*'Equipe Técnica'!$C$13</f>
        <v>470.973868574736</v>
      </c>
      <c r="AB20" s="24" t="n">
        <f aca="false">(L20/$AC$5)*'Equipe Técnica'!$C$13</f>
        <v>431.726046193508</v>
      </c>
      <c r="AC20" s="24" t="n">
        <f aca="false">(M20/$AC$5)*'Equipe Técnica'!$C$13</f>
        <v>431.726046193508</v>
      </c>
      <c r="AD20" s="24" t="n">
        <f aca="false">R20+(($V20+$W20+$X20+$Y20)*12/19)+$Z20</f>
        <v>583.414118549122</v>
      </c>
      <c r="AE20" s="24" t="n">
        <f aca="false">S20+(($V20+$W20+$X20+$Y20)*12/19)+$AA20</f>
        <v>686.761763311578</v>
      </c>
      <c r="AF20" s="24" t="n">
        <f aca="false">T20+(($V20+$W20+$X20+$Y20)*12/19)+$AB20</f>
        <v>635.08794093035</v>
      </c>
      <c r="AG20" s="24" t="n">
        <f aca="false">U20+(($V20+$W20+$X20+$Y20)*12/19)+$AC20</f>
        <v>635.08794093035</v>
      </c>
      <c r="AI20" s="22" t="str">
        <f aca="false">B20</f>
        <v>CEDOCPREV CURITIBA</v>
      </c>
      <c r="AJ20" s="67" t="n">
        <f aca="false">VLOOKUP(AI20,Unidades!D$5:H$27,5,)</f>
        <v>0.2624</v>
      </c>
      <c r="AK20" s="46" t="n">
        <f aca="false">AD20*(1+$AJ20)</f>
        <v>736.501983256411</v>
      </c>
      <c r="AL20" s="46" t="n">
        <f aca="false">AE20*(1+$AJ20)</f>
        <v>866.968050004536</v>
      </c>
      <c r="AM20" s="46" t="n">
        <f aca="false">AF20*(1+$AJ20)</f>
        <v>801.735016630474</v>
      </c>
      <c r="AN20" s="46" t="n">
        <f aca="false">AG20*(1+$AJ20)</f>
        <v>801.735016630474</v>
      </c>
      <c r="AO20" s="46" t="n">
        <f aca="false">((AK20*12)+(AL20*4)+(AM20*2)+AN20)/12</f>
        <v>1225.92508741554</v>
      </c>
      <c r="AP20" s="46" t="n">
        <f aca="false">AO20*3</f>
        <v>3677.77526224663</v>
      </c>
      <c r="AQ20" s="46" t="n">
        <f aca="false">AO20+AP20</f>
        <v>4903.70034966217</v>
      </c>
      <c r="AR20" s="68"/>
      <c r="AS20" s="68"/>
      <c r="AT20" s="68"/>
      <c r="AU20" s="68"/>
      <c r="AV20" s="68"/>
      <c r="AW20" s="68"/>
    </row>
    <row r="21" s="2" customFormat="true" ht="15" hidden="false" customHeight="true" outlineLevel="0" collapsed="false">
      <c r="B21" s="62" t="s">
        <v>100</v>
      </c>
      <c r="C21" s="63" t="n">
        <f aca="false">VLOOKUP($B21,Unidades!$D$5:$N$27,6,FALSE())</f>
        <v>11765.3</v>
      </c>
      <c r="D21" s="63" t="n">
        <f aca="false">VLOOKUP($B21,Unidades!$D$5:$N$27,7,FALSE())</f>
        <v>6322.2</v>
      </c>
      <c r="E21" s="63" t="n">
        <f aca="false">VLOOKUP($B21,Unidades!$D$5:$N$27,8,FALSE())</f>
        <v>1580.55</v>
      </c>
      <c r="F21" s="63" t="n">
        <f aca="false">VLOOKUP($B21,Unidades!$D$5:$N$27,9,FALSE())</f>
        <v>3862.55</v>
      </c>
      <c r="G21" s="63" t="n">
        <f aca="false">D21+E21*$E$6+F21*$F$6</f>
        <v>7261.6475</v>
      </c>
      <c r="H21" s="64" t="n">
        <f aca="false">IF(G21&lt;750,1.5,IF(G21&lt;2000,2,3))</f>
        <v>3</v>
      </c>
      <c r="I21" s="64" t="n">
        <f aca="false">$I$6*H21</f>
        <v>3.6</v>
      </c>
      <c r="J21" s="64" t="str">
        <f aca="false">VLOOKUP($B21,Unidades!$D$5:$N$27,10,FALSE())</f>
        <v>SIM</v>
      </c>
      <c r="K21" s="64" t="str">
        <f aca="false">VLOOKUP($B21,Unidades!$D$5:$N$27,11,FALSE())</f>
        <v>NÃO</v>
      </c>
      <c r="L21" s="64" t="n">
        <f aca="false">$L$6*H21+(IF(J21="SIM",$J$6,0))</f>
        <v>5.3</v>
      </c>
      <c r="M21" s="64" t="n">
        <f aca="false">$M$6*H21+(IF(J21="SIM",$J$6,0))+(IF(K21="SIM",$K$6,0))</f>
        <v>5.3</v>
      </c>
      <c r="N21" s="64" t="n">
        <f aca="false">H21*12+I21*4+L21*2+M21</f>
        <v>66.3</v>
      </c>
      <c r="O21" s="65" t="n">
        <f aca="false">IF(K21="não", N21*(C$33+D$33),N21*(C$33+D$33)+(M21*+E$33))</f>
        <v>4119.219</v>
      </c>
      <c r="P21" s="66"/>
      <c r="Q21" s="22" t="str">
        <f aca="false">B21</f>
        <v>GEX CURITIBA / APS DIGITAL</v>
      </c>
      <c r="R21" s="24" t="n">
        <f aca="false">H21*($C$33+$D$33)</f>
        <v>186.39</v>
      </c>
      <c r="S21" s="24" t="n">
        <f aca="false">I21*($C$33+$D$33)</f>
        <v>223.668</v>
      </c>
      <c r="T21" s="24" t="n">
        <f aca="false">L21*($C$33+$D$33)</f>
        <v>329.289</v>
      </c>
      <c r="U21" s="24" t="n">
        <f aca="false">IF(K21="não",M21*($C$33+$D$33),M21*(C$33+D$33+E$33))</f>
        <v>329.289</v>
      </c>
      <c r="V21" s="24" t="n">
        <f aca="false">VLOOKUP(Q21,'Desl. Base Curitiba'!$C$5:$S$27,13,FALSE())*($C$33+$D$33+$E$33*(VLOOKUP(Q21,'Desl. Base Curitiba'!$C$5:$S$27,17,FALSE())/12))</f>
        <v>0</v>
      </c>
      <c r="W21" s="24" t="n">
        <f aca="false">VLOOKUP(Q21,'Desl. Base Curitiba'!$C$5:$S$27,15,FALSE())*(2+(VLOOKUP(Q21,'Desl. Base Curitiba'!$C$5:$S$27,17,FALSE())/12))</f>
        <v>0</v>
      </c>
      <c r="X21" s="24" t="n">
        <f aca="false">VLOOKUP(Q21,'Desl. Base Curitiba'!$C$5:$Q$29,14,FALSE())</f>
        <v>0</v>
      </c>
      <c r="Y21" s="24" t="n">
        <f aca="false">VLOOKUP(Q21,'Desl. Base Curitiba'!$C$5:$Q$29,13,FALSE())*'Desl. Base Curitiba'!$E$32+'Desl. Base Curitiba'!$E$33*N21/12</f>
        <v>38.39875</v>
      </c>
      <c r="Z21" s="24" t="n">
        <f aca="false">(H21/$AC$5)*'Equipe Técnica'!$C$13</f>
        <v>588.71733571842</v>
      </c>
      <c r="AA21" s="24" t="n">
        <f aca="false">(I21/$AC$5)*'Equipe Técnica'!$C$13</f>
        <v>706.460802862103</v>
      </c>
      <c r="AB21" s="24" t="n">
        <f aca="false">(L21/$AC$5)*'Equipe Técnica'!$C$13</f>
        <v>1040.06729310254</v>
      </c>
      <c r="AC21" s="24" t="n">
        <f aca="false">(M21/$AC$5)*'Equipe Técnica'!$C$13</f>
        <v>1040.06729310254</v>
      </c>
      <c r="AD21" s="24" t="n">
        <f aca="false">R21+(($V21+$W21+$X21+$Y21)*12/19)+$Z21</f>
        <v>799.359177823683</v>
      </c>
      <c r="AE21" s="24" t="n">
        <f aca="false">S21+(($V21+$W21+$X21+$Y21)*12/19)+$AA21</f>
        <v>954.380644967367</v>
      </c>
      <c r="AF21" s="24" t="n">
        <f aca="false">T21+(($V21+$W21+$X21+$Y21)*12/19)+$AB21</f>
        <v>1393.6081352078</v>
      </c>
      <c r="AG21" s="24" t="n">
        <f aca="false">U21+(($V21+$W21+$X21+$Y21)*12/19)+$AC21</f>
        <v>1393.6081352078</v>
      </c>
      <c r="AI21" s="22" t="str">
        <f aca="false">B21</f>
        <v>GEX CURITIBA / APS DIGITAL</v>
      </c>
      <c r="AJ21" s="67" t="n">
        <f aca="false">VLOOKUP(AI21,Unidades!D$5:H$27,5,)</f>
        <v>0.2624</v>
      </c>
      <c r="AK21" s="46" t="n">
        <f aca="false">AD21*(1+$AJ21)</f>
        <v>1009.11102608462</v>
      </c>
      <c r="AL21" s="46" t="n">
        <f aca="false">AE21*(1+$AJ21)</f>
        <v>1204.8101262068</v>
      </c>
      <c r="AM21" s="46" t="n">
        <f aca="false">AF21*(1+$AJ21)</f>
        <v>1759.29090988633</v>
      </c>
      <c r="AN21" s="46" t="n">
        <f aca="false">AG21*(1+$AJ21)</f>
        <v>1759.29090988633</v>
      </c>
      <c r="AO21" s="46" t="n">
        <f aca="false">((AK21*12)+(AL21*4)+(AM21*2)+AN21)/12</f>
        <v>1850.53712895847</v>
      </c>
      <c r="AP21" s="46" t="n">
        <f aca="false">AO21*3</f>
        <v>5551.6113868754</v>
      </c>
      <c r="AQ21" s="46" t="n">
        <f aca="false">AO21+AP21</f>
        <v>7402.14851583387</v>
      </c>
      <c r="AR21" s="68"/>
      <c r="AS21" s="68"/>
      <c r="AT21" s="68"/>
      <c r="AU21" s="68"/>
      <c r="AV21" s="68"/>
      <c r="AW21" s="68"/>
    </row>
    <row r="22" s="2" customFormat="true" ht="15" hidden="false" customHeight="true" outlineLevel="0" collapsed="false">
      <c r="B22" s="62" t="s">
        <v>101</v>
      </c>
      <c r="C22" s="63" t="n">
        <f aca="false">VLOOKUP($B22,Unidades!$D$5:$N$27,6,FALSE())</f>
        <v>572.67</v>
      </c>
      <c r="D22" s="63" t="n">
        <f aca="false">VLOOKUP($B22,Unidades!$D$5:$N$27,7,FALSE())</f>
        <v>572.67</v>
      </c>
      <c r="E22" s="63" t="n">
        <f aca="false">VLOOKUP($B22,Unidades!$D$5:$N$27,8,FALSE())</f>
        <v>0</v>
      </c>
      <c r="F22" s="63" t="n">
        <f aca="false">VLOOKUP($B22,Unidades!$D$5:$N$27,9,FALSE())</f>
        <v>0</v>
      </c>
      <c r="G22" s="63" t="n">
        <f aca="false">D22+E22*$E$6+F22*$F$6</f>
        <v>572.67</v>
      </c>
      <c r="H22" s="64" t="n">
        <f aca="false">IF(G22&lt;750,1.5,IF(G22&lt;2000,2,3))</f>
        <v>1.5</v>
      </c>
      <c r="I22" s="64" t="n">
        <f aca="false">$I$6*H22</f>
        <v>1.8</v>
      </c>
      <c r="J22" s="64" t="str">
        <f aca="false">VLOOKUP($B22,Unidades!$D$5:$N$27,10,FALSE())</f>
        <v>NÃO</v>
      </c>
      <c r="K22" s="64" t="str">
        <f aca="false">VLOOKUP($B22,Unidades!$D$5:$N$27,11,FALSE())</f>
        <v>SIM</v>
      </c>
      <c r="L22" s="64" t="n">
        <f aca="false">$L$6*H22+(IF(J22="SIM",$J$6,0))</f>
        <v>1.65</v>
      </c>
      <c r="M22" s="64" t="n">
        <f aca="false">$M$6*H22+(IF(J22="SIM",$J$6,0))+(IF(K22="SIM",$K$6,0))</f>
        <v>5.65</v>
      </c>
      <c r="N22" s="64" t="n">
        <f aca="false">H22*12+I22*4+L22*2+M22</f>
        <v>34.15</v>
      </c>
      <c r="O22" s="65" t="n">
        <f aca="false">IF(K22="não", N22*(C$33+D$33),N22*(C$33+D$33)+(M22*+E$33))</f>
        <v>2353.9545</v>
      </c>
      <c r="P22" s="66"/>
      <c r="Q22" s="22" t="str">
        <f aca="false">B22</f>
        <v>APS CASTRO</v>
      </c>
      <c r="R22" s="24" t="n">
        <f aca="false">H22*($C$33+$D$33)</f>
        <v>93.195</v>
      </c>
      <c r="S22" s="24" t="n">
        <f aca="false">I22*($C$33+$D$33)</f>
        <v>111.834</v>
      </c>
      <c r="T22" s="24" t="n">
        <f aca="false">L22*($C$33+$D$33)</f>
        <v>102.5145</v>
      </c>
      <c r="U22" s="24" t="n">
        <f aca="false">IF(K22="não",M22*($C$33+$D$33),M22*(C$33+D$33+E$33))</f>
        <v>583.2495</v>
      </c>
      <c r="V22" s="24" t="n">
        <f aca="false">VLOOKUP(Q22,'Desl. Base Curitiba'!$C$5:$S$27,13,FALSE())*($C$33+$D$33+$E$33*(VLOOKUP(Q22,'Desl. Base Curitiba'!$C$5:$S$27,17,FALSE())/12))</f>
        <v>299.367833333333</v>
      </c>
      <c r="W22" s="24" t="n">
        <f aca="false">VLOOKUP(Q22,'Desl. Base Curitiba'!$C$5:$S$27,15,FALSE())*(2+(VLOOKUP(Q22,'Desl. Base Curitiba'!$C$5:$S$27,17,FALSE())/12))</f>
        <v>0</v>
      </c>
      <c r="X22" s="24" t="n">
        <f aca="false">VLOOKUP(Q22,'Desl. Base Curitiba'!$C$5:$Q$29,14,FALSE())</f>
        <v>0</v>
      </c>
      <c r="Y22" s="24" t="n">
        <f aca="false">VLOOKUP(Q22,'Desl. Base Curitiba'!$C$5:$Q$29,13,FALSE())*'Desl. Base Curitiba'!$E$32+'Desl. Base Curitiba'!$E$33*N22/12</f>
        <v>260.396208333333</v>
      </c>
      <c r="Z22" s="24" t="n">
        <f aca="false">(H22/$AC$5)*'Equipe Técnica'!$C$13</f>
        <v>294.35866785921</v>
      </c>
      <c r="AA22" s="24" t="n">
        <f aca="false">(I22/$AC$5)*'Equipe Técnica'!$C$13</f>
        <v>353.230401431052</v>
      </c>
      <c r="AB22" s="24" t="n">
        <f aca="false">(L22/$AC$5)*'Equipe Técnica'!$C$13</f>
        <v>323.794534645131</v>
      </c>
      <c r="AC22" s="24" t="n">
        <f aca="false">(M22/$AC$5)*'Equipe Técnica'!$C$13</f>
        <v>1108.75098226969</v>
      </c>
      <c r="AD22" s="24" t="n">
        <f aca="false">R22+(($V22+$W22+$X22+$Y22)*12/19)+$Z22</f>
        <v>741.088852069736</v>
      </c>
      <c r="AE22" s="24" t="n">
        <f aca="false">S22+(($V22+$W22+$X22+$Y22)*12/19)+$AA22</f>
        <v>818.599585641578</v>
      </c>
      <c r="AF22" s="24" t="n">
        <f aca="false">T22+(($V22+$W22+$X22+$Y22)*12/19)+$AB22</f>
        <v>779.844218855657</v>
      </c>
      <c r="AG22" s="24" t="n">
        <f aca="false">U22+(($V22+$W22+$X22+$Y22)*12/19)+$AC22</f>
        <v>2045.53566648022</v>
      </c>
      <c r="AI22" s="22" t="str">
        <f aca="false">B22</f>
        <v>APS CASTRO</v>
      </c>
      <c r="AJ22" s="67" t="n">
        <f aca="false">VLOOKUP(AI22,Unidades!D$5:H$27,5,)</f>
        <v>0.2354</v>
      </c>
      <c r="AK22" s="46" t="n">
        <f aca="false">AD22*(1+$AJ22)</f>
        <v>915.541167846952</v>
      </c>
      <c r="AL22" s="46" t="n">
        <f aca="false">AE22*(1+$AJ22)</f>
        <v>1011.29792810161</v>
      </c>
      <c r="AM22" s="46" t="n">
        <f aca="false">AF22*(1+$AJ22)</f>
        <v>963.419547974279</v>
      </c>
      <c r="AN22" s="46" t="n">
        <f aca="false">AG22*(1+$AJ22)</f>
        <v>2527.05476236966</v>
      </c>
      <c r="AO22" s="46" t="n">
        <f aca="false">((AK22*12)+(AL22*4)+(AM22*2)+AN22)/12</f>
        <v>1623.79829874067</v>
      </c>
      <c r="AP22" s="46" t="n">
        <f aca="false">AO22*3</f>
        <v>4871.39489622202</v>
      </c>
      <c r="AQ22" s="46" t="n">
        <f aca="false">AO22+AP22</f>
        <v>6495.19319496269</v>
      </c>
      <c r="AR22" s="68"/>
      <c r="AS22" s="68"/>
      <c r="AT22" s="68"/>
      <c r="AU22" s="68"/>
      <c r="AV22" s="68"/>
      <c r="AW22" s="68"/>
    </row>
    <row r="23" s="2" customFormat="true" ht="15" hidden="false" customHeight="true" outlineLevel="0" collapsed="false">
      <c r="B23" s="72" t="s">
        <v>102</v>
      </c>
      <c r="C23" s="63" t="n">
        <f aca="false">VLOOKUP($B23,Unidades!$D$5:$N$27,6,FALSE())</f>
        <v>1982.74</v>
      </c>
      <c r="D23" s="63" t="n">
        <f aca="false">VLOOKUP($B23,Unidades!$D$5:$N$27,7,FALSE())</f>
        <v>1982.74</v>
      </c>
      <c r="E23" s="63" t="n">
        <f aca="false">VLOOKUP($B23,Unidades!$D$5:$N$27,8,FALSE())</f>
        <v>0</v>
      </c>
      <c r="F23" s="63" t="n">
        <f aca="false">VLOOKUP($B23,Unidades!$D$5:$N$27,9,FALSE())</f>
        <v>0</v>
      </c>
      <c r="G23" s="63" t="n">
        <f aca="false">D23+E23*$E$6+F23*$F$6</f>
        <v>1982.74</v>
      </c>
      <c r="H23" s="64" t="n">
        <f aca="false">IF(G23&lt;750,1.5,IF(G23&lt;2000,2,3))</f>
        <v>2</v>
      </c>
      <c r="I23" s="64" t="n">
        <f aca="false">$I$6*H23</f>
        <v>2.4</v>
      </c>
      <c r="J23" s="64" t="str">
        <f aca="false">VLOOKUP($B23,Unidades!$D$5:$N$27,10,FALSE())</f>
        <v>NÃO</v>
      </c>
      <c r="K23" s="64" t="str">
        <f aca="false">VLOOKUP($B23,Unidades!$D$5:$N$27,11,FALSE())</f>
        <v>NÃO</v>
      </c>
      <c r="L23" s="64" t="n">
        <f aca="false">$L$6*H23+(IF(J23="SIM",$J$6,0))</f>
        <v>2.2</v>
      </c>
      <c r="M23" s="64" t="n">
        <f aca="false">$M$6*H23+(IF(J23="SIM",$J$6,0))+(IF(K23="SIM",$K$6,0))</f>
        <v>2.2</v>
      </c>
      <c r="N23" s="64" t="n">
        <f aca="false">H23*12+I23*4+L23*2+M23</f>
        <v>40.2</v>
      </c>
      <c r="O23" s="65" t="n">
        <f aca="false">IF(K23="não", N23*(C$33+D$33),N23*(C$33+D$33)+(M23*+E$33))</f>
        <v>2497.626</v>
      </c>
      <c r="P23" s="66"/>
      <c r="Q23" s="22" t="str">
        <f aca="false">B23</f>
        <v>APS IRATI</v>
      </c>
      <c r="R23" s="24" t="n">
        <f aca="false">H23*($C$33+$D$33)</f>
        <v>124.26</v>
      </c>
      <c r="S23" s="24" t="n">
        <f aca="false">I23*($C$33+$D$33)</f>
        <v>149.112</v>
      </c>
      <c r="T23" s="24" t="n">
        <f aca="false">L23*($C$33+$D$33)</f>
        <v>136.686</v>
      </c>
      <c r="U23" s="24" t="n">
        <f aca="false">IF(K23="não",M23*($C$33+$D$33),M23*(C$33+D$33+E$33))</f>
        <v>136.686</v>
      </c>
      <c r="V23" s="24" t="n">
        <f aca="false">VLOOKUP(Q23,'Desl. Base Curitiba'!$C$5:$S$27,13,FALSE())*($C$33+$D$33+$E$33*(VLOOKUP(Q23,'Desl. Base Curitiba'!$C$5:$S$27,17,FALSE())/12))</f>
        <v>173.44625</v>
      </c>
      <c r="W23" s="24" t="n">
        <f aca="false">VLOOKUP(Q23,'Desl. Base Curitiba'!$C$5:$S$27,15,FALSE())*(2+(VLOOKUP(Q23,'Desl. Base Curitiba'!$C$5:$S$27,17,FALSE())/12))</f>
        <v>132.74</v>
      </c>
      <c r="X23" s="24" t="n">
        <f aca="false">VLOOKUP(Q23,'Desl. Base Curitiba'!$C$5:$Q$29,14,FALSE())</f>
        <v>0</v>
      </c>
      <c r="Y23" s="24" t="n">
        <f aca="false">VLOOKUP(Q23,'Desl. Base Curitiba'!$C$5:$Q$29,13,FALSE())*'Desl. Base Curitiba'!$E$32+'Desl. Base Curitiba'!$E$33*N23/12</f>
        <v>170.375416666667</v>
      </c>
      <c r="Z23" s="24" t="n">
        <f aca="false">(H23/$AC$5)*'Equipe Técnica'!$C$13</f>
        <v>392.47822381228</v>
      </c>
      <c r="AA23" s="24" t="n">
        <f aca="false">(I23/$AC$5)*'Equipe Técnica'!$C$13</f>
        <v>470.973868574736</v>
      </c>
      <c r="AB23" s="24" t="n">
        <f aca="false">(L23/$AC$5)*'Equipe Técnica'!$C$13</f>
        <v>431.726046193508</v>
      </c>
      <c r="AC23" s="24" t="n">
        <f aca="false">(M23/$AC$5)*'Equipe Técnica'!$C$13</f>
        <v>431.726046193508</v>
      </c>
      <c r="AD23" s="24" t="n">
        <f aca="false">R23+(($V23+$W23+$X23+$Y23)*12/19)+$Z23</f>
        <v>817.724539601753</v>
      </c>
      <c r="AE23" s="24" t="n">
        <f aca="false">S23+(($V23+$W23+$X23+$Y23)*12/19)+$AA23</f>
        <v>921.072184364209</v>
      </c>
      <c r="AF23" s="24" t="n">
        <f aca="false">T23+(($V23+$W23+$X23+$Y23)*12/19)+$AB23</f>
        <v>869.398361982981</v>
      </c>
      <c r="AG23" s="24" t="n">
        <f aca="false">U23+(($V23+$W23+$X23+$Y23)*12/19)+$AC23</f>
        <v>869.398361982981</v>
      </c>
      <c r="AI23" s="22" t="str">
        <f aca="false">B23</f>
        <v>APS IRATI</v>
      </c>
      <c r="AJ23" s="67" t="n">
        <f aca="false">VLOOKUP(AI23,Unidades!D$5:H$27,5,)</f>
        <v>0.2354</v>
      </c>
      <c r="AK23" s="46" t="n">
        <f aca="false">AD23*(1+$AJ23)</f>
        <v>1010.21689622401</v>
      </c>
      <c r="AL23" s="46" t="n">
        <f aca="false">AE23*(1+$AJ23)</f>
        <v>1137.89257656354</v>
      </c>
      <c r="AM23" s="46" t="n">
        <f aca="false">AF23*(1+$AJ23)</f>
        <v>1074.05473639378</v>
      </c>
      <c r="AN23" s="46" t="n">
        <f aca="false">AG23*(1+$AJ23)</f>
        <v>1074.05473639378</v>
      </c>
      <c r="AO23" s="46" t="n">
        <f aca="false">((AK23*12)+(AL23*4)+(AM23*2)+AN23)/12</f>
        <v>1658.02810584363</v>
      </c>
      <c r="AP23" s="46" t="n">
        <f aca="false">AO23*3</f>
        <v>4974.0843175309</v>
      </c>
      <c r="AQ23" s="46" t="n">
        <f aca="false">AO23+AP23</f>
        <v>6632.11242337453</v>
      </c>
      <c r="AR23" s="68"/>
      <c r="AS23" s="68"/>
      <c r="AT23" s="68"/>
      <c r="AU23" s="68"/>
      <c r="AV23" s="68"/>
      <c r="AW23" s="68"/>
    </row>
    <row r="24" s="2" customFormat="true" ht="15" hidden="false" customHeight="true" outlineLevel="0" collapsed="false">
      <c r="B24" s="72" t="s">
        <v>103</v>
      </c>
      <c r="C24" s="63" t="n">
        <f aca="false">VLOOKUP($B24,Unidades!$D$5:$N$27,6,FALSE())</f>
        <v>334.4</v>
      </c>
      <c r="D24" s="63" t="n">
        <f aca="false">VLOOKUP($B24,Unidades!$D$5:$N$27,7,FALSE())</f>
        <v>296</v>
      </c>
      <c r="E24" s="63" t="n">
        <f aca="false">VLOOKUP($B24,Unidades!$D$5:$N$27,8,FALSE())</f>
        <v>38.4</v>
      </c>
      <c r="F24" s="63" t="n">
        <f aca="false">VLOOKUP($B24,Unidades!$D$5:$N$27,9,FALSE())</f>
        <v>0</v>
      </c>
      <c r="G24" s="63" t="n">
        <f aca="false">D24+E24*$E$6+F24*$F$6</f>
        <v>309.44</v>
      </c>
      <c r="H24" s="64" t="n">
        <f aca="false">IF(G24&lt;750,1.5,IF(G24&lt;2000,2,3))</f>
        <v>1.5</v>
      </c>
      <c r="I24" s="64" t="n">
        <f aca="false">$I$6*H24</f>
        <v>1.8</v>
      </c>
      <c r="J24" s="64" t="str">
        <f aca="false">VLOOKUP($B24,Unidades!$D$5:$N$27,10,FALSE())</f>
        <v>NÃO</v>
      </c>
      <c r="K24" s="64" t="str">
        <f aca="false">VLOOKUP($B24,Unidades!$D$5:$N$27,11,FALSE())</f>
        <v>NÃO</v>
      </c>
      <c r="L24" s="64" t="n">
        <f aca="false">$L$6*H24+(IF(J24="SIM",$J$6,0))</f>
        <v>1.65</v>
      </c>
      <c r="M24" s="64" t="n">
        <f aca="false">$M$6*H24+(IF(J24="SIM",$J$6,0))+(IF(K24="SIM",$K$6,0))</f>
        <v>1.65</v>
      </c>
      <c r="N24" s="64" t="n">
        <f aca="false">H24*12+I24*4+L24*2+M24</f>
        <v>30.15</v>
      </c>
      <c r="O24" s="65" t="n">
        <f aca="false">IF(K24="não", N24*(C$33+D$33),N24*(C$33+D$33)+(M24*+E$33))</f>
        <v>1873.2195</v>
      </c>
      <c r="P24" s="66"/>
      <c r="Q24" s="22" t="str">
        <f aca="false">B24</f>
        <v>APS PALMEIRA</v>
      </c>
      <c r="R24" s="24" t="n">
        <f aca="false">H24*($C$33+$D$33)</f>
        <v>93.195</v>
      </c>
      <c r="S24" s="24" t="n">
        <f aca="false">I24*($C$33+$D$33)</f>
        <v>111.834</v>
      </c>
      <c r="T24" s="24" t="n">
        <f aca="false">L24*($C$33+$D$33)</f>
        <v>102.5145</v>
      </c>
      <c r="U24" s="24" t="n">
        <f aca="false">IF(K24="não",M24*($C$33+$D$33),M24*(C$33+D$33+E$33))</f>
        <v>102.5145</v>
      </c>
      <c r="V24" s="24" t="n">
        <f aca="false">VLOOKUP(Q24,'Desl. Base Curitiba'!$C$5:$S$27,13,FALSE())*($C$33+$D$33+$E$33*(VLOOKUP(Q24,'Desl. Base Curitiba'!$C$5:$S$27,17,FALSE())/12))</f>
        <v>105.10325</v>
      </c>
      <c r="W24" s="24" t="n">
        <f aca="false">VLOOKUP(Q24,'Desl. Base Curitiba'!$C$5:$S$27,15,FALSE())*(2+(VLOOKUP(Q24,'Desl. Base Curitiba'!$C$5:$S$27,17,FALSE())/12))</f>
        <v>0</v>
      </c>
      <c r="X24" s="24" t="n">
        <f aca="false">VLOOKUP(Q24,'Desl. Base Curitiba'!$C$5:$Q$29,14,FALSE())</f>
        <v>0</v>
      </c>
      <c r="Y24" s="24" t="n">
        <f aca="false">VLOOKUP(Q24,'Desl. Base Curitiba'!$C$5:$Q$29,13,FALSE())*'Desl. Base Curitiba'!$E$32+'Desl. Base Curitiba'!$E$33*N24/12</f>
        <v>106.595791666667</v>
      </c>
      <c r="Z24" s="24" t="n">
        <f aca="false">(H24/$AC$5)*'Equipe Técnica'!$C$13</f>
        <v>294.35866785921</v>
      </c>
      <c r="AA24" s="24" t="n">
        <f aca="false">(I24/$AC$5)*'Equipe Técnica'!$C$13</f>
        <v>353.230401431052</v>
      </c>
      <c r="AB24" s="24" t="n">
        <f aca="false">(L24/$AC$5)*'Equipe Técnica'!$C$13</f>
        <v>323.794534645131</v>
      </c>
      <c r="AC24" s="24" t="n">
        <f aca="false">(M24/$AC$5)*'Equipe Técnica'!$C$13</f>
        <v>323.794534645131</v>
      </c>
      <c r="AD24" s="24" t="n">
        <f aca="false">R24+(($V24+$W24+$X24+$Y24)*12/19)+$Z24</f>
        <v>521.258325753947</v>
      </c>
      <c r="AE24" s="24" t="n">
        <f aca="false">S24+(($V24+$W24+$X24+$Y24)*12/19)+$AA24</f>
        <v>598.769059325789</v>
      </c>
      <c r="AF24" s="24" t="n">
        <f aca="false">T24+(($V24+$W24+$X24+$Y24)*12/19)+$AB24</f>
        <v>560.013692539868</v>
      </c>
      <c r="AG24" s="24" t="n">
        <f aca="false">U24+(($V24+$W24+$X24+$Y24)*12/19)+$AC24</f>
        <v>560.013692539868</v>
      </c>
      <c r="AI24" s="22" t="str">
        <f aca="false">B24</f>
        <v>APS PALMEIRA</v>
      </c>
      <c r="AJ24" s="67" t="n">
        <f aca="false">VLOOKUP(AI24,Unidades!D$5:H$27,5,)</f>
        <v>0.2354</v>
      </c>
      <c r="AK24" s="46" t="n">
        <f aca="false">AD24*(1+$AJ24)</f>
        <v>643.962535636426</v>
      </c>
      <c r="AL24" s="46" t="n">
        <f aca="false">AE24*(1+$AJ24)</f>
        <v>739.719295891079</v>
      </c>
      <c r="AM24" s="46" t="n">
        <f aca="false">AF24*(1+$AJ24)</f>
        <v>691.840915763753</v>
      </c>
      <c r="AN24" s="46" t="n">
        <f aca="false">AG24*(1+$AJ24)</f>
        <v>691.840915763753</v>
      </c>
      <c r="AO24" s="46" t="n">
        <f aca="false">((AK24*12)+(AL24*4)+(AM24*2)+AN24)/12</f>
        <v>1063.49586320772</v>
      </c>
      <c r="AP24" s="46" t="n">
        <f aca="false">AO24*3</f>
        <v>3190.48758962317</v>
      </c>
      <c r="AQ24" s="46" t="n">
        <f aca="false">AO24+AP24</f>
        <v>4253.98345283089</v>
      </c>
      <c r="AR24" s="68"/>
      <c r="AS24" s="68"/>
      <c r="AT24" s="68"/>
      <c r="AU24" s="68"/>
      <c r="AV24" s="68"/>
      <c r="AW24" s="68"/>
    </row>
    <row r="25" s="2" customFormat="true" ht="15" hidden="false" customHeight="true" outlineLevel="0" collapsed="false">
      <c r="B25" s="72" t="s">
        <v>104</v>
      </c>
      <c r="C25" s="63" t="n">
        <f aca="false">VLOOKUP($B25,Unidades!$D$5:$N$27,6,FALSE())</f>
        <v>334.4</v>
      </c>
      <c r="D25" s="63" t="n">
        <f aca="false">VLOOKUP($B25,Unidades!$D$5:$N$27,7,FALSE())</f>
        <v>296</v>
      </c>
      <c r="E25" s="63" t="n">
        <f aca="false">VLOOKUP($B25,Unidades!$D$5:$N$27,8,FALSE())</f>
        <v>38.4</v>
      </c>
      <c r="F25" s="63" t="n">
        <f aca="false">VLOOKUP($B25,Unidades!$D$5:$N$27,9,FALSE())</f>
        <v>0</v>
      </c>
      <c r="G25" s="63" t="n">
        <f aca="false">D25+E25*$E$6+F25*$F$6</f>
        <v>309.44</v>
      </c>
      <c r="H25" s="64" t="n">
        <f aca="false">IF(G25&lt;750,1.5,IF(G25&lt;2000,2,3))</f>
        <v>1.5</v>
      </c>
      <c r="I25" s="64" t="n">
        <f aca="false">$I$6*H25</f>
        <v>1.8</v>
      </c>
      <c r="J25" s="64" t="str">
        <f aca="false">VLOOKUP($B25,Unidades!$D$5:$N$27,10,FALSE())</f>
        <v>NÃO</v>
      </c>
      <c r="K25" s="64" t="str">
        <f aca="false">VLOOKUP($B25,Unidades!$D$5:$N$27,11,FALSE())</f>
        <v>NÃO</v>
      </c>
      <c r="L25" s="64" t="n">
        <f aca="false">$L$6*H25+(IF(J25="SIM",$J$6,0))</f>
        <v>1.65</v>
      </c>
      <c r="M25" s="64" t="n">
        <f aca="false">$M$6*H25+(IF(J25="SIM",$J$6,0))+(IF(K25="SIM",$K$6,0))</f>
        <v>1.65</v>
      </c>
      <c r="N25" s="64" t="n">
        <f aca="false">H25*12+I25*4+L25*2+M25</f>
        <v>30.15</v>
      </c>
      <c r="O25" s="65" t="n">
        <f aca="false">IF(K25="não", N25*(C$33+D$33),N25*(C$33+D$33)+(M25*+E$33))</f>
        <v>1873.2195</v>
      </c>
      <c r="P25" s="66"/>
      <c r="Q25" s="22" t="str">
        <f aca="false">B25</f>
        <v>APS SÃO MATEUS DO SUL</v>
      </c>
      <c r="R25" s="24" t="n">
        <f aca="false">H25*($C$33+$D$33)</f>
        <v>93.195</v>
      </c>
      <c r="S25" s="24" t="n">
        <f aca="false">I25*($C$33+$D$33)</f>
        <v>111.834</v>
      </c>
      <c r="T25" s="24" t="n">
        <f aca="false">L25*($C$33+$D$33)</f>
        <v>102.5145</v>
      </c>
      <c r="U25" s="24" t="n">
        <f aca="false">IF(K25="não",M25*($C$33+$D$33),M25*(C$33+D$33+E$33))</f>
        <v>102.5145</v>
      </c>
      <c r="V25" s="24" t="n">
        <f aca="false">VLOOKUP(Q25,'Desl. Base Curitiba'!$C$5:$S$27,13,FALSE())*($C$33+$D$33+$E$33*(VLOOKUP(Q25,'Desl. Base Curitiba'!$C$5:$S$27,17,FALSE())/12))</f>
        <v>173.44625</v>
      </c>
      <c r="W25" s="24" t="n">
        <f aca="false">VLOOKUP(Q25,'Desl. Base Curitiba'!$C$5:$S$27,15,FALSE())*(2+(VLOOKUP(Q25,'Desl. Base Curitiba'!$C$5:$S$27,17,FALSE())/12))</f>
        <v>132.74</v>
      </c>
      <c r="X25" s="24" t="n">
        <f aca="false">VLOOKUP(Q25,'Desl. Base Curitiba'!$C$5:$Q$29,14,FALSE())</f>
        <v>0</v>
      </c>
      <c r="Y25" s="24" t="n">
        <f aca="false">VLOOKUP(Q25,'Desl. Base Curitiba'!$C$5:$Q$29,13,FALSE())*'Desl. Base Curitiba'!$E$32+'Desl. Base Curitiba'!$E$33*N25/12</f>
        <v>164.554791666667</v>
      </c>
      <c r="Z25" s="24" t="n">
        <f aca="false">(H25/$AC$5)*'Equipe Técnica'!$C$13</f>
        <v>294.35866785921</v>
      </c>
      <c r="AA25" s="24" t="n">
        <f aca="false">(I25/$AC$5)*'Equipe Técnica'!$C$13</f>
        <v>353.230401431052</v>
      </c>
      <c r="AB25" s="24" t="n">
        <f aca="false">(L25/$AC$5)*'Equipe Técnica'!$C$13</f>
        <v>323.794534645131</v>
      </c>
      <c r="AC25" s="24" t="n">
        <f aca="false">(M25/$AC$5)*'Equipe Técnica'!$C$13</f>
        <v>323.794534645131</v>
      </c>
      <c r="AD25" s="24" t="n">
        <f aca="false">R25+(($V25+$W25+$X25+$Y25)*12/19)+$Z25</f>
        <v>684.863799438157</v>
      </c>
      <c r="AE25" s="24" t="n">
        <f aca="false">S25+(($V25+$W25+$X25+$Y25)*12/19)+$AA25</f>
        <v>762.374533009999</v>
      </c>
      <c r="AF25" s="24" t="n">
        <f aca="false">T25+(($V25+$W25+$X25+$Y25)*12/19)+$AB25</f>
        <v>723.619166224078</v>
      </c>
      <c r="AG25" s="24" t="n">
        <f aca="false">U25+(($V25+$W25+$X25+$Y25)*12/19)+$AC25</f>
        <v>723.619166224078</v>
      </c>
      <c r="AI25" s="22" t="str">
        <f aca="false">B25</f>
        <v>APS SÃO MATEUS DO SUL</v>
      </c>
      <c r="AJ25" s="67" t="n">
        <f aca="false">VLOOKUP(AI25,Unidades!D$5:H$27,5,)</f>
        <v>0.2487</v>
      </c>
      <c r="AK25" s="46" t="n">
        <f aca="false">AD25*(1+$AJ25)</f>
        <v>855.189426358427</v>
      </c>
      <c r="AL25" s="46" t="n">
        <f aca="false">AE25*(1+$AJ25)</f>
        <v>951.977079369586</v>
      </c>
      <c r="AM25" s="46" t="n">
        <f aca="false">AF25*(1+$AJ25)</f>
        <v>903.583252864006</v>
      </c>
      <c r="AN25" s="46" t="n">
        <f aca="false">AG25*(1+$AJ25)</f>
        <v>903.583252864006</v>
      </c>
      <c r="AO25" s="46" t="n">
        <f aca="false">((AK25*12)+(AL25*4)+(AM25*2)+AN25)/12</f>
        <v>1398.41093269762</v>
      </c>
      <c r="AP25" s="46" t="n">
        <f aca="false">AO25*3</f>
        <v>4195.23279809287</v>
      </c>
      <c r="AQ25" s="46" t="n">
        <f aca="false">AO25+AP25</f>
        <v>5593.64373079049</v>
      </c>
      <c r="AR25" s="68"/>
      <c r="AS25" s="68"/>
      <c r="AT25" s="68"/>
      <c r="AU25" s="68"/>
      <c r="AV25" s="68"/>
      <c r="AW25" s="68"/>
    </row>
    <row r="26" s="2" customFormat="true" ht="15" hidden="false" customHeight="true" outlineLevel="0" collapsed="false">
      <c r="B26" s="72" t="s">
        <v>105</v>
      </c>
      <c r="C26" s="63" t="n">
        <f aca="false">VLOOKUP($B26,Unidades!$D$5:$N$27,6,FALSE())</f>
        <v>3200</v>
      </c>
      <c r="D26" s="63" t="n">
        <f aca="false">VLOOKUP($B26,Unidades!$D$5:$N$27,7,FALSE())</f>
        <v>1525</v>
      </c>
      <c r="E26" s="63" t="n">
        <f aca="false">VLOOKUP($B26,Unidades!$D$5:$N$27,8,FALSE())</f>
        <v>850</v>
      </c>
      <c r="F26" s="63" t="n">
        <f aca="false">VLOOKUP($B26,Unidades!$D$5:$N$27,9,FALSE())</f>
        <v>825</v>
      </c>
      <c r="G26" s="63" t="n">
        <f aca="false">D26+E26*$E$6+F26*$F$6</f>
        <v>1905</v>
      </c>
      <c r="H26" s="64" t="n">
        <f aca="false">IF(G26&lt;750,1.5,IF(G26&lt;2000,2,3))</f>
        <v>2</v>
      </c>
      <c r="I26" s="64" t="n">
        <f aca="false">$I$6*H26</f>
        <v>2.4</v>
      </c>
      <c r="J26" s="64" t="str">
        <f aca="false">VLOOKUP($B26,Unidades!$D$5:$N$27,10,FALSE())</f>
        <v>SIM</v>
      </c>
      <c r="K26" s="64" t="str">
        <f aca="false">VLOOKUP($B26,Unidades!$D$5:$N$27,11,FALSE())</f>
        <v>SIM</v>
      </c>
      <c r="L26" s="64" t="n">
        <f aca="false">$L$6*H26+(IF(J26="SIM",$J$6,0))</f>
        <v>4.2</v>
      </c>
      <c r="M26" s="64" t="n">
        <f aca="false">$M$6*H26+(IF(J26="SIM",$J$6,0))+(IF(K26="SIM",$K$6,0))</f>
        <v>8.2</v>
      </c>
      <c r="N26" s="64" t="n">
        <f aca="false">H26*12+I26*4+L26*2+M26</f>
        <v>50.2</v>
      </c>
      <c r="O26" s="65" t="n">
        <f aca="false">IF(K26="não", N26*(C$33+D$33),N26*(C$33+D$33)+(M26*+E$33))</f>
        <v>3455.946</v>
      </c>
      <c r="P26" s="66"/>
      <c r="Q26" s="22" t="str">
        <f aca="false">B26</f>
        <v>APS UNIÃO DA VITÓRIA</v>
      </c>
      <c r="R26" s="24" t="n">
        <f aca="false">H26*($C$33+$D$33)</f>
        <v>124.26</v>
      </c>
      <c r="S26" s="24" t="n">
        <f aca="false">I26*($C$33+$D$33)</f>
        <v>149.112</v>
      </c>
      <c r="T26" s="24" t="n">
        <f aca="false">L26*($C$33+$D$33)</f>
        <v>260.946</v>
      </c>
      <c r="U26" s="24" t="n">
        <f aca="false">IF(K26="não",M26*($C$33+$D$33),M26*(C$33+D$33+E$33))</f>
        <v>846.486</v>
      </c>
      <c r="V26" s="24" t="n">
        <f aca="false">VLOOKUP(Q26,'Desl. Base Curitiba'!$C$5:$S$27,13,FALSE())*($C$33+$D$33+$E$33*(VLOOKUP(Q26,'Desl. Base Curitiba'!$C$5:$S$27,17,FALSE())/12))</f>
        <v>241.460916666667</v>
      </c>
      <c r="W26" s="24" t="n">
        <f aca="false">VLOOKUP(Q26,'Desl. Base Curitiba'!$C$5:$S$27,15,FALSE())*(2+(VLOOKUP(Q26,'Desl. Base Curitiba'!$C$5:$S$27,17,FALSE())/12))</f>
        <v>138.270833333333</v>
      </c>
      <c r="X26" s="24" t="n">
        <f aca="false">VLOOKUP(Q26,'Desl. Base Curitiba'!$C$5:$Q$29,14,FALSE())</f>
        <v>0</v>
      </c>
      <c r="Y26" s="24" t="n">
        <f aca="false">VLOOKUP(Q26,'Desl. Base Curitiba'!$C$5:$Q$29,13,FALSE())*'Desl. Base Curitiba'!$E$32+'Desl. Base Curitiba'!$E$33*N26/12</f>
        <v>223.149</v>
      </c>
      <c r="Z26" s="24" t="n">
        <f aca="false">(H26/$AC$5)*'Equipe Técnica'!$C$13</f>
        <v>392.47822381228</v>
      </c>
      <c r="AA26" s="24" t="n">
        <f aca="false">(I26/$AC$5)*'Equipe Técnica'!$C$13</f>
        <v>470.973868574736</v>
      </c>
      <c r="AB26" s="24" t="n">
        <f aca="false">(L26/$AC$5)*'Equipe Técnica'!$C$13</f>
        <v>824.204270005787</v>
      </c>
      <c r="AC26" s="24" t="n">
        <f aca="false">(M26/$AC$5)*'Equipe Técnica'!$C$13</f>
        <v>1609.16071763035</v>
      </c>
      <c r="AD26" s="24" t="n">
        <f aca="false">R26+(($V26+$W26+$X26+$Y26)*12/19)+$Z26</f>
        <v>897.505013285964</v>
      </c>
      <c r="AE26" s="24" t="n">
        <f aca="false">S26+(($V26+$W26+$X26+$Y26)*12/19)+$AA26</f>
        <v>1000.85265804842</v>
      </c>
      <c r="AF26" s="24" t="n">
        <f aca="false">T26+(($V26+$W26+$X26+$Y26)*12/19)+$AB26</f>
        <v>1465.91705947947</v>
      </c>
      <c r="AG26" s="24" t="n">
        <f aca="false">U26+(($V26+$W26+$X26+$Y26)*12/19)+$AC26</f>
        <v>2836.41350710403</v>
      </c>
      <c r="AI26" s="22" t="str">
        <f aca="false">B26</f>
        <v>APS UNIÃO DA VITÓRIA</v>
      </c>
      <c r="AJ26" s="67" t="n">
        <f aca="false">VLOOKUP(AI26,Unidades!D$5:H$27,5,)</f>
        <v>0.2288</v>
      </c>
      <c r="AK26" s="46" t="n">
        <f aca="false">AD26*(1+$AJ26)</f>
        <v>1102.85416032579</v>
      </c>
      <c r="AL26" s="46" t="n">
        <f aca="false">AE26*(1+$AJ26)</f>
        <v>1229.8477462099</v>
      </c>
      <c r="AM26" s="46" t="n">
        <f aca="false">AF26*(1+$AJ26)</f>
        <v>1801.31888268837</v>
      </c>
      <c r="AN26" s="46" t="n">
        <f aca="false">AG26*(1+$AJ26)</f>
        <v>3485.38491752943</v>
      </c>
      <c r="AO26" s="46" t="n">
        <f aca="false">((AK26*12)+(AL26*4)+(AM26*2)+AN26)/12</f>
        <v>2103.47196597127</v>
      </c>
      <c r="AP26" s="46" t="n">
        <f aca="false">AO26*3</f>
        <v>6310.41589791382</v>
      </c>
      <c r="AQ26" s="46" t="n">
        <f aca="false">AO26+AP26</f>
        <v>8413.8878638851</v>
      </c>
      <c r="AR26" s="68"/>
      <c r="AS26" s="68"/>
      <c r="AT26" s="68"/>
      <c r="AU26" s="68"/>
      <c r="AV26" s="68"/>
      <c r="AW26" s="68"/>
    </row>
    <row r="27" s="2" customFormat="true" ht="15" hidden="false" customHeight="true" outlineLevel="0" collapsed="false">
      <c r="B27" s="73" t="s">
        <v>106</v>
      </c>
      <c r="C27" s="63" t="n">
        <f aca="false">VLOOKUP($B27,Unidades!$D$5:$N$27,6,FALSE())</f>
        <v>1369</v>
      </c>
      <c r="D27" s="63" t="n">
        <f aca="false">VLOOKUP($B27,Unidades!$D$5:$N$27,7,FALSE())</f>
        <v>1369</v>
      </c>
      <c r="E27" s="63" t="n">
        <f aca="false">VLOOKUP($B27,Unidades!$D$5:$N$27,8,FALSE())</f>
        <v>0</v>
      </c>
      <c r="F27" s="63" t="n">
        <f aca="false">VLOOKUP($B27,Unidades!$D$5:$N$27,9,FALSE())</f>
        <v>0</v>
      </c>
      <c r="G27" s="63" t="n">
        <f aca="false">D27+E27*$E$6+F27*$F$6</f>
        <v>1369</v>
      </c>
      <c r="H27" s="64" t="n">
        <f aca="false">IF(G27&lt;750,1.5,IF(G27&lt;2000,2,3))</f>
        <v>2</v>
      </c>
      <c r="I27" s="64" t="n">
        <f aca="false">$I$6*H27</f>
        <v>2.4</v>
      </c>
      <c r="J27" s="64" t="str">
        <f aca="false">VLOOKUP($B27,Unidades!$D$5:$N$27,10,FALSE())</f>
        <v>SIM</v>
      </c>
      <c r="K27" s="64" t="str">
        <f aca="false">VLOOKUP($B27,Unidades!$D$5:$N$27,11,FALSE())</f>
        <v>NÃO</v>
      </c>
      <c r="L27" s="64" t="n">
        <f aca="false">$L$6*H27+(IF(J27="SIM",$J$6,0))</f>
        <v>4.2</v>
      </c>
      <c r="M27" s="64" t="n">
        <f aca="false">$M$6*H27+(IF(J27="SIM",$J$6,0))+(IF(K27="SIM",$K$6,0))</f>
        <v>4.2</v>
      </c>
      <c r="N27" s="64" t="n">
        <f aca="false">H27*12+I27*4+L27*2+M27</f>
        <v>46.2</v>
      </c>
      <c r="O27" s="65" t="n">
        <f aca="false">IF(K27="não", N27*(C$33+D$33),N27*(C$33+D$33)+(M27*+E$33))</f>
        <v>2870.406</v>
      </c>
      <c r="P27" s="66"/>
      <c r="Q27" s="22" t="str">
        <f aca="false">B27</f>
        <v>CEDOCPREV PONTA GROSSA</v>
      </c>
      <c r="R27" s="24" t="n">
        <f aca="false">H27*($C$33+$D$33)</f>
        <v>124.26</v>
      </c>
      <c r="S27" s="24" t="n">
        <f aca="false">I27*($C$33+$D$33)</f>
        <v>149.112</v>
      </c>
      <c r="T27" s="24" t="n">
        <f aca="false">L27*($C$33+$D$33)</f>
        <v>260.946</v>
      </c>
      <c r="U27" s="24" t="n">
        <f aca="false">IF(K27="não",M27*($C$33+$D$33),M27*(C$33+D$33+E$33))</f>
        <v>260.946</v>
      </c>
      <c r="V27" s="24" t="n">
        <f aca="false">VLOOKUP(Q27,'Desl. Base Curitiba'!$C$5:$S$27,13,FALSE())*($C$33+$D$33+$E$33*(VLOOKUP(Q27,'Desl. Base Curitiba'!$C$5:$S$27,17,FALSE())/12))</f>
        <v>114.72125</v>
      </c>
      <c r="W27" s="24" t="n">
        <f aca="false">VLOOKUP(Q27,'Desl. Base Curitiba'!$C$5:$S$27,15,FALSE())*(2+(VLOOKUP(Q27,'Desl. Base Curitiba'!$C$5:$S$27,17,FALSE())/12))</f>
        <v>0</v>
      </c>
      <c r="X27" s="24" t="n">
        <f aca="false">VLOOKUP(Q27,'Desl. Base Curitiba'!$C$5:$Q$29,14,FALSE())</f>
        <v>0</v>
      </c>
      <c r="Y27" s="24" t="n">
        <f aca="false">VLOOKUP(Q27,'Desl. Base Curitiba'!$C$5:$Q$29,13,FALSE())*'Desl. Base Curitiba'!$E$32+'Desl. Base Curitiba'!$E$33*N27/12</f>
        <v>118.965</v>
      </c>
      <c r="Z27" s="24" t="n">
        <f aca="false">(H27/$AC$5)*'Equipe Técnica'!$C$13</f>
        <v>392.47822381228</v>
      </c>
      <c r="AA27" s="24" t="n">
        <f aca="false">(I27/$AC$5)*'Equipe Técnica'!$C$13</f>
        <v>470.973868574736</v>
      </c>
      <c r="AB27" s="24" t="n">
        <f aca="false">(L27/$AC$5)*'Equipe Técnica'!$C$13</f>
        <v>824.204270005787</v>
      </c>
      <c r="AC27" s="24" t="n">
        <f aca="false">(M27/$AC$5)*'Equipe Técnica'!$C$13</f>
        <v>824.204270005787</v>
      </c>
      <c r="AD27" s="24" t="n">
        <f aca="false">R27+(($V27+$W27+$X27+$Y27)*12/19)+$Z27</f>
        <v>664.329539601753</v>
      </c>
      <c r="AE27" s="24" t="n">
        <f aca="false">S27+(($V27+$W27+$X27+$Y27)*12/19)+$AA27</f>
        <v>767.677184364209</v>
      </c>
      <c r="AF27" s="24" t="n">
        <f aca="false">T27+(($V27+$W27+$X27+$Y27)*12/19)+$AB27</f>
        <v>1232.74158579526</v>
      </c>
      <c r="AG27" s="24" t="n">
        <f aca="false">U27+(($V27+$W27+$X27+$Y27)*12/19)+$AC27</f>
        <v>1232.74158579526</v>
      </c>
      <c r="AI27" s="22" t="str">
        <f aca="false">B27</f>
        <v>CEDOCPREV PONTA GROSSA</v>
      </c>
      <c r="AJ27" s="67" t="n">
        <f aca="false">VLOOKUP(AI27,Unidades!D$5:H$27,5,)</f>
        <v>0.2354</v>
      </c>
      <c r="AK27" s="46" t="n">
        <f aca="false">AD27*(1+$AJ27)</f>
        <v>820.712713224006</v>
      </c>
      <c r="AL27" s="46" t="n">
        <f aca="false">AE27*(1+$AJ27)</f>
        <v>948.388393563544</v>
      </c>
      <c r="AM27" s="46" t="n">
        <f aca="false">AF27*(1+$AJ27)</f>
        <v>1522.92895509147</v>
      </c>
      <c r="AN27" s="46" t="n">
        <f aca="false">AG27*(1+$AJ27)</f>
        <v>1522.92895509147</v>
      </c>
      <c r="AO27" s="46" t="n">
        <f aca="false">((AK27*12)+(AL27*4)+(AM27*2)+AN27)/12</f>
        <v>1517.57441651805</v>
      </c>
      <c r="AP27" s="46" t="n">
        <f aca="false">AO27*3</f>
        <v>4552.72324955416</v>
      </c>
      <c r="AQ27" s="46" t="n">
        <f aca="false">AO27+AP27</f>
        <v>6070.29766607222</v>
      </c>
      <c r="AR27" s="68"/>
      <c r="AS27" s="68"/>
      <c r="AT27" s="68"/>
      <c r="AU27" s="68"/>
      <c r="AV27" s="68"/>
      <c r="AW27" s="68"/>
    </row>
    <row r="28" s="2" customFormat="true" ht="15" hidden="false" customHeight="true" outlineLevel="0" collapsed="false">
      <c r="B28" s="72" t="s">
        <v>107</v>
      </c>
      <c r="C28" s="63" t="n">
        <f aca="false">VLOOKUP($B28,Unidades!$D$5:$N$27,6,FALSE())</f>
        <v>3976.98</v>
      </c>
      <c r="D28" s="63" t="n">
        <f aca="false">VLOOKUP($B28,Unidades!$D$5:$N$27,7,FALSE())</f>
        <v>3626.98</v>
      </c>
      <c r="E28" s="63" t="n">
        <f aca="false">VLOOKUP($B28,Unidades!$D$5:$N$27,8,FALSE())</f>
        <v>350</v>
      </c>
      <c r="F28" s="63" t="n">
        <f aca="false">VLOOKUP($B28,Unidades!$D$5:$N$27,9,FALSE())</f>
        <v>0</v>
      </c>
      <c r="G28" s="63" t="n">
        <f aca="false">D28+E28*$E$6+F28*$F$6</f>
        <v>3749.48</v>
      </c>
      <c r="H28" s="64" t="n">
        <f aca="false">IF(G28&lt;750,1.5,IF(G28&lt;2000,2,3))</f>
        <v>3</v>
      </c>
      <c r="I28" s="64" t="n">
        <f aca="false">$I$6*H28</f>
        <v>3.6</v>
      </c>
      <c r="J28" s="64" t="str">
        <f aca="false">VLOOKUP($B28,Unidades!$D$5:$N$27,10,FALSE())</f>
        <v>SIM</v>
      </c>
      <c r="K28" s="64" t="str">
        <f aca="false">VLOOKUP($B28,Unidades!$D$5:$N$27,11,FALSE())</f>
        <v>SIM</v>
      </c>
      <c r="L28" s="64" t="n">
        <f aca="false">$L$6*H28+(IF(J28="SIM",$J$6,0))</f>
        <v>5.3</v>
      </c>
      <c r="M28" s="64" t="n">
        <f aca="false">$M$6*H28+(IF(J28="SIM",$J$6,0))+(IF(K28="SIM",$K$6,0))</f>
        <v>9.3</v>
      </c>
      <c r="N28" s="64" t="n">
        <f aca="false">H28*12+I28*4+L28*2+M28</f>
        <v>70.3</v>
      </c>
      <c r="O28" s="65" t="n">
        <f aca="false">IF(K28="não", N28*(C$33+D$33),N28*(C$33+D$33)+(M28*+E$33))</f>
        <v>4749.969</v>
      </c>
      <c r="P28" s="66"/>
      <c r="Q28" s="22" t="str">
        <f aca="false">B28</f>
        <v>GEX/APS PONTA GROSSA</v>
      </c>
      <c r="R28" s="24" t="n">
        <f aca="false">H28*($C$33+$D$33)</f>
        <v>186.39</v>
      </c>
      <c r="S28" s="24" t="n">
        <f aca="false">I28*($C$33+$D$33)</f>
        <v>223.668</v>
      </c>
      <c r="T28" s="24" t="n">
        <f aca="false">L28*($C$33+$D$33)</f>
        <v>329.289</v>
      </c>
      <c r="U28" s="24" t="n">
        <f aca="false">IF(K28="não",M28*($C$33+$D$33),M28*(C$33+D$33+E$33))</f>
        <v>960.039</v>
      </c>
      <c r="V28" s="24" t="n">
        <f aca="false">VLOOKUP(Q28,'Desl. Base Curitiba'!$C$5:$S$27,13,FALSE())*($C$33+$D$33+$E$33*(VLOOKUP(Q28,'Desl. Base Curitiba'!$C$5:$S$27,17,FALSE())/12))</f>
        <v>114.72125</v>
      </c>
      <c r="W28" s="24" t="n">
        <f aca="false">VLOOKUP(Q28,'Desl. Base Curitiba'!$C$5:$S$27,15,FALSE())*(2+(VLOOKUP(Q28,'Desl. Base Curitiba'!$C$5:$S$27,17,FALSE())/12))</f>
        <v>0</v>
      </c>
      <c r="X28" s="24" t="n">
        <f aca="false">VLOOKUP(Q28,'Desl. Base Curitiba'!$C$5:$Q$29,14,FALSE())</f>
        <v>0</v>
      </c>
      <c r="Y28" s="24" t="n">
        <f aca="false">VLOOKUP(Q28,'Desl. Base Curitiba'!$C$5:$Q$29,13,FALSE())*'Desl. Base Curitiba'!$E$32+'Desl. Base Curitiba'!$E$33*N28/12</f>
        <v>132.922916666667</v>
      </c>
      <c r="Z28" s="24" t="n">
        <f aca="false">(H28/$AC$5)*'Equipe Técnica'!$C$13</f>
        <v>588.71733571842</v>
      </c>
      <c r="AA28" s="24" t="n">
        <f aca="false">(I28/$AC$5)*'Equipe Técnica'!$C$13</f>
        <v>706.460802862103</v>
      </c>
      <c r="AB28" s="24" t="n">
        <f aca="false">(L28/$AC$5)*'Equipe Técnica'!$C$13</f>
        <v>1040.06729310254</v>
      </c>
      <c r="AC28" s="24" t="n">
        <f aca="false">(M28/$AC$5)*'Equipe Técnica'!$C$13</f>
        <v>1825.0237407271</v>
      </c>
      <c r="AD28" s="24" t="n">
        <f aca="false">R28+(($V28+$W28+$X28+$Y28)*12/19)+$Z28</f>
        <v>931.514177823683</v>
      </c>
      <c r="AE28" s="24" t="n">
        <f aca="false">S28+(($V28+$W28+$X28+$Y28)*12/19)+$AA28</f>
        <v>1086.53564496737</v>
      </c>
      <c r="AF28" s="24" t="n">
        <f aca="false">T28+(($V28+$W28+$X28+$Y28)*12/19)+$AB28</f>
        <v>1525.7631352078</v>
      </c>
      <c r="AG28" s="24" t="n">
        <f aca="false">U28+(($V28+$W28+$X28+$Y28)*12/19)+$AC28</f>
        <v>2941.46958283236</v>
      </c>
      <c r="AI28" s="22" t="str">
        <f aca="false">B28</f>
        <v>GEX/APS PONTA GROSSA</v>
      </c>
      <c r="AJ28" s="67" t="n">
        <f aca="false">VLOOKUP(AI28,Unidades!D$5:H$27,5,)</f>
        <v>0.2354</v>
      </c>
      <c r="AK28" s="46" t="n">
        <f aca="false">AD28*(1+$AJ28)</f>
        <v>1150.79261528338</v>
      </c>
      <c r="AL28" s="46" t="n">
        <f aca="false">AE28*(1+$AJ28)</f>
        <v>1342.30613579268</v>
      </c>
      <c r="AM28" s="46" t="n">
        <f aca="false">AF28*(1+$AJ28)</f>
        <v>1884.92777723572</v>
      </c>
      <c r="AN28" s="46" t="n">
        <f aca="false">AG28*(1+$AJ28)</f>
        <v>3633.8915226311</v>
      </c>
      <c r="AO28" s="46" t="n">
        <f aca="false">((AK28*12)+(AL28*4)+(AM28*2)+AN28)/12</f>
        <v>2215.20691697282</v>
      </c>
      <c r="AP28" s="46" t="n">
        <f aca="false">AO28*3</f>
        <v>6645.62075091845</v>
      </c>
      <c r="AQ28" s="46" t="n">
        <f aca="false">AO28+AP28</f>
        <v>8860.82766789127</v>
      </c>
      <c r="AR28" s="68"/>
      <c r="AS28" s="68"/>
      <c r="AT28" s="68"/>
      <c r="AU28" s="68"/>
      <c r="AV28" s="68"/>
      <c r="AW28" s="68"/>
    </row>
    <row r="29" s="2" customFormat="true" ht="15" hidden="false" customHeight="true" outlineLevel="0" collapsed="false">
      <c r="B29" s="72" t="s">
        <v>108</v>
      </c>
      <c r="C29" s="63" t="n">
        <f aca="false">VLOOKUP($B29,Unidades!$D$5:$N$27,6,FALSE())</f>
        <v>786</v>
      </c>
      <c r="D29" s="63" t="n">
        <f aca="false">VLOOKUP($B29,Unidades!$D$5:$N$27,7,FALSE())</f>
        <v>456</v>
      </c>
      <c r="E29" s="63" t="n">
        <f aca="false">VLOOKUP($B29,Unidades!$D$5:$N$27,8,FALSE())</f>
        <v>42</v>
      </c>
      <c r="F29" s="63" t="n">
        <f aca="false">VLOOKUP($B29,Unidades!$D$5:$N$27,9,FALSE())</f>
        <v>288</v>
      </c>
      <c r="G29" s="63" t="n">
        <f aca="false">D29+E29*$E$6+F29*$F$6</f>
        <v>499.5</v>
      </c>
      <c r="H29" s="64" t="n">
        <f aca="false">IF(G29&lt;750,1.5,IF(G29&lt;2000,2,3))</f>
        <v>1.5</v>
      </c>
      <c r="I29" s="64" t="n">
        <f aca="false">$I$6*H29</f>
        <v>1.8</v>
      </c>
      <c r="J29" s="64" t="str">
        <f aca="false">VLOOKUP($B29,Unidades!$D$5:$N$27,10,FALSE())</f>
        <v>SIM</v>
      </c>
      <c r="K29" s="64" t="str">
        <f aca="false">VLOOKUP($B29,Unidades!$D$5:$N$27,11,FALSE())</f>
        <v>SIM</v>
      </c>
      <c r="L29" s="64" t="n">
        <f aca="false">$L$6*H29+(IF(J29="SIM",$J$6,0))</f>
        <v>3.65</v>
      </c>
      <c r="M29" s="64" t="n">
        <f aca="false">$M$6*H29+(IF(J29="SIM",$J$6,0))+(IF(K29="SIM",$K$6,0))</f>
        <v>7.65</v>
      </c>
      <c r="N29" s="64" t="n">
        <f aca="false">H29*12+I29*4+L29*2+M29</f>
        <v>40.15</v>
      </c>
      <c r="O29" s="65" t="n">
        <f aca="false">IF(K29="não", N29*(C$33+D$33),N29*(C$33+D$33)+(M29*+E$33))</f>
        <v>2808.9345</v>
      </c>
      <c r="P29" s="66"/>
      <c r="Q29" s="22" t="str">
        <f aca="false">B29</f>
        <v>APS PORTO UNIÃO</v>
      </c>
      <c r="R29" s="24" t="n">
        <f aca="false">H29*($C$33+$D$33)</f>
        <v>93.195</v>
      </c>
      <c r="S29" s="24" t="n">
        <f aca="false">I29*($C$33+$D$33)</f>
        <v>111.834</v>
      </c>
      <c r="T29" s="24" t="n">
        <f aca="false">L29*($C$33+$D$33)</f>
        <v>226.7745</v>
      </c>
      <c r="U29" s="24" t="n">
        <f aca="false">IF(K29="não",M29*($C$33+$D$33),M29*(C$33+D$33+E$33))</f>
        <v>789.7095</v>
      </c>
      <c r="V29" s="24" t="n">
        <f aca="false">VLOOKUP(Q29,'Desl. Base Curitiba'!$C$5:$S$27,13,FALSE())*($C$33+$D$33+$E$33*(VLOOKUP(Q29,'Desl. Base Curitiba'!$C$5:$S$27,17,FALSE())/12))</f>
        <v>241.460916666667</v>
      </c>
      <c r="W29" s="24" t="n">
        <f aca="false">VLOOKUP(Q29,'Desl. Base Curitiba'!$C$5:$S$27,15,FALSE())*(2+(VLOOKUP(Q29,'Desl. Base Curitiba'!$C$5:$S$27,17,FALSE())/12))</f>
        <v>138.270833333333</v>
      </c>
      <c r="X29" s="24" t="n">
        <f aca="false">VLOOKUP(Q29,'Desl. Base Curitiba'!$C$5:$Q$29,14,FALSE())</f>
        <v>0</v>
      </c>
      <c r="Y29" s="24" t="n">
        <f aca="false">VLOOKUP(Q29,'Desl. Base Curitiba'!$C$5:$Q$29,13,FALSE())*'Desl. Base Curitiba'!$E$32+'Desl. Base Curitiba'!$E$33*N29/12</f>
        <v>217.328375</v>
      </c>
      <c r="Z29" s="24" t="n">
        <f aca="false">(H29/$AC$5)*'Equipe Técnica'!$C$13</f>
        <v>294.35866785921</v>
      </c>
      <c r="AA29" s="24" t="n">
        <f aca="false">(I29/$AC$5)*'Equipe Técnica'!$C$13</f>
        <v>353.230401431052</v>
      </c>
      <c r="AB29" s="24" t="n">
        <f aca="false">(L29/$AC$5)*'Equipe Técnica'!$C$13</f>
        <v>716.272758457411</v>
      </c>
      <c r="AC29" s="24" t="n">
        <f aca="false">(M29/$AC$5)*'Equipe Técnica'!$C$13</f>
        <v>1501.22920608197</v>
      </c>
      <c r="AD29" s="24" t="n">
        <f aca="false">R29+(($V29+$W29+$X29+$Y29)*12/19)+$Z29</f>
        <v>764.644273122368</v>
      </c>
      <c r="AE29" s="24" t="n">
        <f aca="false">S29+(($V29+$W29+$X29+$Y29)*12/19)+$AA29</f>
        <v>842.15500669421</v>
      </c>
      <c r="AF29" s="24" t="n">
        <f aca="false">T29+(($V29+$W29+$X29+$Y29)*12/19)+$AB29</f>
        <v>1320.13786372057</v>
      </c>
      <c r="AG29" s="24" t="n">
        <f aca="false">U29+(($V29+$W29+$X29+$Y29)*12/19)+$AC29</f>
        <v>2668.02931134513</v>
      </c>
      <c r="AI29" s="22" t="str">
        <f aca="false">B29</f>
        <v>APS PORTO UNIÃO</v>
      </c>
      <c r="AJ29" s="67" t="n">
        <f aca="false">VLOOKUP(AI29,Unidades!D$5:H$27,5,)</f>
        <v>0.2288</v>
      </c>
      <c r="AK29" s="46" t="n">
        <f aca="false">AD29*(1+$AJ29)</f>
        <v>939.594882812765</v>
      </c>
      <c r="AL29" s="46" t="n">
        <f aca="false">AE29*(1+$AJ29)</f>
        <v>1034.84007222584</v>
      </c>
      <c r="AM29" s="46" t="n">
        <f aca="false">AF29*(1+$AJ29)</f>
        <v>1622.18540693983</v>
      </c>
      <c r="AN29" s="46" t="n">
        <f aca="false">AG29*(1+$AJ29)</f>
        <v>3278.47441778089</v>
      </c>
      <c r="AO29" s="46" t="n">
        <f aca="false">((AK29*12)+(AL29*4)+(AM29*2)+AN29)/12</f>
        <v>1828.11200952643</v>
      </c>
      <c r="AP29" s="46" t="n">
        <f aca="false">AO29*3</f>
        <v>5484.33602857928</v>
      </c>
      <c r="AQ29" s="46" t="n">
        <f aca="false">AO29+AP29</f>
        <v>7312.44803810571</v>
      </c>
      <c r="AR29" s="68"/>
      <c r="AS29" s="68"/>
      <c r="AT29" s="68"/>
      <c r="AU29" s="68"/>
      <c r="AV29" s="68"/>
      <c r="AW29" s="68"/>
    </row>
    <row r="30" s="53" customFormat="true" ht="19.5" hidden="false" customHeight="true" outlineLevel="0" collapsed="false">
      <c r="B30" s="74" t="s">
        <v>109</v>
      </c>
      <c r="C30" s="75" t="n">
        <f aca="false">SUM(C7:C29)</f>
        <v>46686.65</v>
      </c>
      <c r="D30" s="75" t="n">
        <f aca="false">SUM(D7:D29)</f>
        <v>30624.45</v>
      </c>
      <c r="E30" s="75" t="n">
        <f aca="false">SUM(E7:E29)</f>
        <v>7462.35</v>
      </c>
      <c r="F30" s="75" t="n">
        <f aca="false">SUM(F7:F29)</f>
        <v>8599.85</v>
      </c>
      <c r="G30" s="75" t="n">
        <f aca="false">SUM(G7:G29)</f>
        <v>34096.2575</v>
      </c>
      <c r="H30" s="76" t="n">
        <f aca="false">SUM(H7:H29)</f>
        <v>43.5</v>
      </c>
      <c r="I30" s="76" t="n">
        <f aca="false">SUM(I7:I29)</f>
        <v>52.2</v>
      </c>
      <c r="J30" s="76" t="n">
        <f aca="false">COUNTIF(J7:J29,"SIM")</f>
        <v>8</v>
      </c>
      <c r="K30" s="76" t="n">
        <f aca="false">COUNTIF(K7:K29,"SIM")</f>
        <v>7</v>
      </c>
      <c r="L30" s="76" t="n">
        <f aca="false">SUM(L7:L29)</f>
        <v>63.85</v>
      </c>
      <c r="M30" s="76" t="n">
        <f aca="false">SUM(M7:M29)</f>
        <v>91.85</v>
      </c>
      <c r="N30" s="76" t="n">
        <f aca="false">SUM(N7:N29)</f>
        <v>950.35</v>
      </c>
      <c r="O30" s="77" t="n">
        <f aca="false">SUM(O7:O29)</f>
        <v>61412.6055</v>
      </c>
      <c r="P30" s="78"/>
      <c r="Q30" s="76" t="s">
        <v>109</v>
      </c>
      <c r="R30" s="79" t="n">
        <f aca="false">SUM(R7:R29)</f>
        <v>2702.655</v>
      </c>
      <c r="S30" s="79" t="n">
        <f aca="false">SUM(S7:S29)</f>
        <v>3243.186</v>
      </c>
      <c r="T30" s="79" t="n">
        <f aca="false">SUM(T7:T29)</f>
        <v>3967.0005</v>
      </c>
      <c r="U30" s="79" t="n">
        <f aca="false">SUM(U7:U29)</f>
        <v>8074.0005</v>
      </c>
      <c r="V30" s="79" t="n">
        <f aca="false">SUM(V7:V29)</f>
        <v>2413.85841666667</v>
      </c>
      <c r="W30" s="79" t="n">
        <f aca="false">SUM(W7:W29)</f>
        <v>542.021666666667</v>
      </c>
      <c r="X30" s="79" t="n">
        <f aca="false">SUM(X7:X29)</f>
        <v>0</v>
      </c>
      <c r="Y30" s="79" t="n">
        <f aca="false">SUM(Y7:Y29)</f>
        <v>2540.33670833333</v>
      </c>
      <c r="Z30" s="79" t="n">
        <f aca="false">SUM(Z7:Z29)</f>
        <v>8536.40136791708</v>
      </c>
      <c r="AA30" s="79" t="n">
        <f aca="false">SUM(AA7:AA29)</f>
        <v>10243.6816415005</v>
      </c>
      <c r="AB30" s="79" t="n">
        <f aca="false">SUM(AB7:AB29)</f>
        <v>12529.867295207</v>
      </c>
      <c r="AC30" s="79" t="n">
        <f aca="false">SUM(AC7:AC29)</f>
        <v>18024.5624285789</v>
      </c>
      <c r="AD30" s="79" t="n">
        <f aca="false">SUM(AD7:AD29)</f>
        <v>14710.3511837066</v>
      </c>
      <c r="AE30" s="79" t="n">
        <f aca="false">SUM(AE7:AE29)</f>
        <v>16958.16245729</v>
      </c>
      <c r="AF30" s="79" t="n">
        <f aca="false">SUM(AF7:AF29)</f>
        <v>19968.1626109965</v>
      </c>
      <c r="AG30" s="79" t="n">
        <f aca="false">SUM(AG7:AG29)</f>
        <v>29569.8577443684</v>
      </c>
      <c r="AI30" s="76" t="s">
        <v>109</v>
      </c>
      <c r="AJ30" s="76"/>
      <c r="AK30" s="80" t="n">
        <f aca="false">SUM(AK7:AK29)</f>
        <v>18267.0084111792</v>
      </c>
      <c r="AL30" s="80" t="n">
        <f aca="false">SUM(AL7:AL29)</f>
        <v>21061.9007770772</v>
      </c>
      <c r="AM30" s="80" t="n">
        <f aca="false">SUM(AM7:AM29)</f>
        <v>24813.3892776609</v>
      </c>
      <c r="AN30" s="80" t="n">
        <f aca="false">SUM(AN7:AN29)</f>
        <v>36752.0578362451</v>
      </c>
      <c r="AO30" s="80" t="n">
        <f aca="false">SUM(AO7:AO29)</f>
        <v>32485.8783695022</v>
      </c>
      <c r="AP30" s="80" t="n">
        <f aca="false">SUM(AP7:AP29)</f>
        <v>97457.6351085066</v>
      </c>
      <c r="AQ30" s="80" t="n">
        <f aca="false">SUM(AQ7:AQ29)</f>
        <v>129943.513478009</v>
      </c>
    </row>
    <row r="31" customFormat="false" ht="18" hidden="false" customHeight="true" outlineLevel="0" collapsed="false">
      <c r="H31" s="81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54"/>
      <c r="AE31" s="54"/>
      <c r="AF31" s="54"/>
      <c r="AG31" s="54"/>
    </row>
    <row r="32" customFormat="false" ht="39.75" hidden="false" customHeight="true" outlineLevel="0" collapsed="false">
      <c r="B32" s="45" t="s">
        <v>29</v>
      </c>
      <c r="C32" s="83" t="s">
        <v>110</v>
      </c>
      <c r="D32" s="83" t="s">
        <v>111</v>
      </c>
      <c r="E32" s="83" t="s">
        <v>112</v>
      </c>
      <c r="R32" s="84"/>
      <c r="Z32" s="84"/>
      <c r="AA32" s="84"/>
      <c r="AB32" s="84"/>
      <c r="AC32" s="84"/>
    </row>
    <row r="33" customFormat="false" ht="18" hidden="false" customHeight="true" outlineLevel="0" collapsed="false">
      <c r="B33" s="45"/>
      <c r="C33" s="24" t="n">
        <v>34.79</v>
      </c>
      <c r="D33" s="24" t="n">
        <v>27.34</v>
      </c>
      <c r="E33" s="24" t="n">
        <v>41.1</v>
      </c>
    </row>
    <row r="34" customFormat="false" ht="28.5" hidden="false" customHeight="true" outlineLevel="0" collapsed="false">
      <c r="B34" s="49" t="str">
        <f aca="false">'Equipe Técnica'!B9</f>
        <v>* Tabela SINAPI Outubro/2023 (Não Desonerado)</v>
      </c>
    </row>
    <row r="35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30:AJ30"/>
    <mergeCell ref="B32:B33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50"/>
  <sheetViews>
    <sheetView showFormulas="false" showGridLines="false" showRowColHeaders="true" showZeros="true" rightToLeft="false" tabSelected="false" showOutlineSymbols="true" defaultGridColor="true" view="normal" topLeftCell="A4" colorId="64" zoomScale="110" zoomScaleNormal="110" zoomScalePageLayoutView="100" workbookViewId="0">
      <selection pane="topLeft" activeCell="R10" activeCellId="0" sqref="R10"/>
    </sheetView>
  </sheetViews>
  <sheetFormatPr defaultColWidth="8.6015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85" width="12.6"/>
    <col collapsed="false" customWidth="true" hidden="false" outlineLevel="0" max="3" min="3" style="85" width="32.6"/>
    <col collapsed="false" customWidth="true" hidden="false" outlineLevel="0" max="13" min="4" style="85" width="9.6"/>
    <col collapsed="false" customWidth="true" hidden="false" outlineLevel="0" max="15" min="14" style="86" width="9.6"/>
    <col collapsed="false" customWidth="true" hidden="false" outlineLevel="0" max="17" min="16" style="85" width="9.6"/>
    <col collapsed="false" customWidth="true" hidden="false" outlineLevel="0" max="18" min="18" style="85" width="11.9"/>
    <col collapsed="false" customWidth="true" hidden="false" outlineLevel="0" max="19" min="19" style="85" width="15.1"/>
    <col collapsed="false" customWidth="false" hidden="false" outlineLevel="0" max="260" min="20" style="85" width="8.6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87" t="str">
        <f aca="false">"DESLOCAMENTO BASE "&amp;Resumo!B5</f>
        <v>DESLOCAMENTO BASE CURITIBA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customFormat="false" ht="15" hidden="false" customHeight="true" outlineLevel="0" collapsed="false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customFormat="false" ht="37.5" hidden="false" customHeight="true" outlineLevel="0" collapsed="false">
      <c r="B4" s="21" t="s">
        <v>113</v>
      </c>
      <c r="C4" s="21" t="str">
        <f aca="false">"Rota (saída e retorno "&amp;Resumo!B5&amp;")"</f>
        <v>Rota (saída e retorno CURITIBA)</v>
      </c>
      <c r="D4" s="21" t="s">
        <v>114</v>
      </c>
      <c r="E4" s="21" t="s">
        <v>115</v>
      </c>
      <c r="F4" s="21" t="s">
        <v>116</v>
      </c>
      <c r="G4" s="21" t="s">
        <v>117</v>
      </c>
      <c r="H4" s="21" t="s">
        <v>118</v>
      </c>
      <c r="I4" s="21" t="s">
        <v>119</v>
      </c>
      <c r="J4" s="21" t="s">
        <v>120</v>
      </c>
      <c r="K4" s="21" t="s">
        <v>121</v>
      </c>
      <c r="L4" s="21" t="s">
        <v>122</v>
      </c>
      <c r="M4" s="89" t="s">
        <v>123</v>
      </c>
      <c r="N4" s="21" t="s">
        <v>124</v>
      </c>
      <c r="O4" s="21" t="s">
        <v>125</v>
      </c>
      <c r="P4" s="21" t="s">
        <v>126</v>
      </c>
      <c r="Q4" s="21" t="s">
        <v>66</v>
      </c>
      <c r="R4" s="21" t="s">
        <v>127</v>
      </c>
      <c r="S4" s="21" t="s">
        <v>128</v>
      </c>
    </row>
    <row r="5" customFormat="false" ht="15.75" hidden="false" customHeight="true" outlineLevel="0" collapsed="false">
      <c r="B5" s="90" t="n">
        <v>1</v>
      </c>
      <c r="C5" s="72" t="s">
        <v>82</v>
      </c>
      <c r="D5" s="91" t="n">
        <v>28.7</v>
      </c>
      <c r="E5" s="91" t="n">
        <f aca="false">110-D5</f>
        <v>81.3</v>
      </c>
      <c r="F5" s="91" t="n">
        <v>82.9</v>
      </c>
      <c r="G5" s="92" t="n">
        <f aca="false">SUM(D5:F6)</f>
        <v>192.9</v>
      </c>
      <c r="H5" s="91" t="n">
        <v>40</v>
      </c>
      <c r="I5" s="91" t="n">
        <v>73</v>
      </c>
      <c r="J5" s="91" t="n">
        <v>90</v>
      </c>
      <c r="K5" s="93" t="n">
        <f aca="false">SUM(H5:J6)</f>
        <v>203</v>
      </c>
      <c r="L5" s="94" t="n">
        <f aca="false">K5/60</f>
        <v>3.38333333333333</v>
      </c>
      <c r="M5" s="95" t="n">
        <v>0</v>
      </c>
      <c r="N5" s="93" t="n">
        <v>2</v>
      </c>
      <c r="O5" s="94" t="n">
        <f aca="false">L5/N5</f>
        <v>1.69166666666667</v>
      </c>
      <c r="P5" s="95" t="n">
        <v>0</v>
      </c>
      <c r="Q5" s="96" t="n">
        <v>0</v>
      </c>
      <c r="R5" s="97" t="str">
        <f aca="false">INDEX('Base Curitiba'!$K$7:$K$29,MATCH('Desl. Base Curitiba'!C5,'Base Curitiba'!$B$7:$B$29,0))</f>
        <v>NÃO</v>
      </c>
      <c r="S5" s="98" t="n">
        <v>0</v>
      </c>
    </row>
    <row r="6" customFormat="false" ht="15.75" hidden="false" customHeight="true" outlineLevel="0" collapsed="false">
      <c r="B6" s="90"/>
      <c r="C6" s="72" t="s">
        <v>103</v>
      </c>
      <c r="D6" s="91"/>
      <c r="E6" s="91"/>
      <c r="F6" s="91"/>
      <c r="G6" s="92"/>
      <c r="H6" s="91"/>
      <c r="I6" s="91"/>
      <c r="J6" s="91"/>
      <c r="K6" s="93"/>
      <c r="L6" s="94"/>
      <c r="M6" s="95" t="n">
        <v>0</v>
      </c>
      <c r="N6" s="93"/>
      <c r="O6" s="94" t="n">
        <f aca="false">O5</f>
        <v>1.69166666666667</v>
      </c>
      <c r="P6" s="95" t="n">
        <v>0</v>
      </c>
      <c r="Q6" s="96" t="n">
        <v>0</v>
      </c>
      <c r="R6" s="97" t="str">
        <f aca="false">INDEX('Base Curitiba'!$K$7:$K$29,MATCH('Desl. Base Curitiba'!C6,'Base Curitiba'!$B$7:$B$29,0))</f>
        <v>NÃO</v>
      </c>
      <c r="S6" s="98" t="n">
        <v>0</v>
      </c>
    </row>
    <row r="7" customFormat="false" ht="15.75" hidden="false" customHeight="true" outlineLevel="0" collapsed="false">
      <c r="B7" s="90" t="n">
        <v>2</v>
      </c>
      <c r="C7" s="72" t="s">
        <v>100</v>
      </c>
      <c r="D7" s="91" t="n">
        <v>0</v>
      </c>
      <c r="E7" s="91" t="n">
        <v>0</v>
      </c>
      <c r="F7" s="91" t="n">
        <v>0</v>
      </c>
      <c r="G7" s="99" t="n">
        <v>0</v>
      </c>
      <c r="H7" s="91" t="n">
        <v>0</v>
      </c>
      <c r="I7" s="91" t="n">
        <v>0</v>
      </c>
      <c r="J7" s="91" t="n">
        <v>0</v>
      </c>
      <c r="K7" s="93" t="n">
        <f aca="false">SUM(H7:J7)</f>
        <v>0</v>
      </c>
      <c r="L7" s="100" t="n">
        <f aca="false">K7/60</f>
        <v>0</v>
      </c>
      <c r="M7" s="95" t="n">
        <v>0</v>
      </c>
      <c r="N7" s="93" t="n">
        <v>1</v>
      </c>
      <c r="O7" s="94" t="n">
        <f aca="false">L7/N7</f>
        <v>0</v>
      </c>
      <c r="P7" s="101" t="n">
        <v>0</v>
      </c>
      <c r="Q7" s="101" t="n">
        <v>0</v>
      </c>
      <c r="R7" s="97" t="str">
        <f aca="false">INDEX('Base Curitiba'!$K$7:$K$29,MATCH('Desl. Base Curitiba'!C7,'Base Curitiba'!$B$7:$B$29,0))</f>
        <v>NÃO</v>
      </c>
      <c r="S7" s="98" t="n">
        <v>0</v>
      </c>
    </row>
    <row r="8" customFormat="false" ht="15.75" hidden="false" customHeight="true" outlineLevel="0" collapsed="false">
      <c r="B8" s="90"/>
      <c r="C8" s="72" t="s">
        <v>99</v>
      </c>
      <c r="D8" s="91" t="n">
        <v>4</v>
      </c>
      <c r="E8" s="91" t="n">
        <v>4.1</v>
      </c>
      <c r="F8" s="91" t="n">
        <v>0</v>
      </c>
      <c r="G8" s="99" t="n">
        <f aca="false">SUM(D8:F9)</f>
        <v>12.4</v>
      </c>
      <c r="H8" s="91" t="n">
        <v>12</v>
      </c>
      <c r="I8" s="91" t="n">
        <v>13</v>
      </c>
      <c r="J8" s="91" t="n">
        <v>0</v>
      </c>
      <c r="K8" s="93" t="n">
        <f aca="false">SUM(H8:J9)</f>
        <v>43</v>
      </c>
      <c r="L8" s="100" t="n">
        <f aca="false">K8/60</f>
        <v>0.716666666666667</v>
      </c>
      <c r="M8" s="95" t="n">
        <v>0</v>
      </c>
      <c r="N8" s="93" t="n">
        <v>1</v>
      </c>
      <c r="O8" s="94" t="n">
        <f aca="false">L8/N8</f>
        <v>0.716666666666667</v>
      </c>
      <c r="P8" s="101" t="n">
        <v>0</v>
      </c>
      <c r="Q8" s="101" t="n">
        <v>0</v>
      </c>
      <c r="R8" s="97" t="str">
        <f aca="false">INDEX('Base Curitiba'!$K$7:$K$29,MATCH('Desl. Base Curitiba'!C8,'Base Curitiba'!$B$7:$B$29,0))</f>
        <v>NÃO</v>
      </c>
      <c r="S8" s="98" t="n">
        <v>0</v>
      </c>
    </row>
    <row r="9" customFormat="false" ht="15.75" hidden="false" customHeight="true" outlineLevel="0" collapsed="false">
      <c r="B9" s="90" t="n">
        <v>3</v>
      </c>
      <c r="C9" s="72" t="s">
        <v>85</v>
      </c>
      <c r="D9" s="91" t="n">
        <v>1.5</v>
      </c>
      <c r="E9" s="91" t="n">
        <v>2</v>
      </c>
      <c r="F9" s="91" t="n">
        <v>0.8</v>
      </c>
      <c r="G9" s="92" t="n">
        <f aca="false">SUM(D9:F10)</f>
        <v>4.3</v>
      </c>
      <c r="H9" s="91" t="n">
        <v>7</v>
      </c>
      <c r="I9" s="91" t="n">
        <v>8</v>
      </c>
      <c r="J9" s="91" t="n">
        <v>3</v>
      </c>
      <c r="K9" s="93" t="n">
        <f aca="false">SUM(H9:J10)</f>
        <v>18</v>
      </c>
      <c r="L9" s="94" t="n">
        <f aca="false">K9/60</f>
        <v>0.3</v>
      </c>
      <c r="M9" s="95" t="n">
        <v>0</v>
      </c>
      <c r="N9" s="93" t="n">
        <v>2</v>
      </c>
      <c r="O9" s="94" t="n">
        <f aca="false">L9/N9</f>
        <v>0.15</v>
      </c>
      <c r="P9" s="95" t="n">
        <v>0</v>
      </c>
      <c r="Q9" s="96" t="n">
        <v>0</v>
      </c>
      <c r="R9" s="97" t="str">
        <f aca="false">INDEX('Base Curitiba'!$K$7:$K$29,MATCH('Desl. Base Curitiba'!C9,'Base Curitiba'!$B$7:$B$29,0))</f>
        <v>SIM</v>
      </c>
      <c r="S9" s="98" t="n">
        <v>1</v>
      </c>
    </row>
    <row r="10" customFormat="false" ht="15.75" hidden="false" customHeight="true" outlineLevel="0" collapsed="false">
      <c r="B10" s="90"/>
      <c r="C10" s="72" t="s">
        <v>88</v>
      </c>
      <c r="D10" s="91"/>
      <c r="E10" s="91"/>
      <c r="F10" s="91"/>
      <c r="G10" s="92"/>
      <c r="H10" s="91"/>
      <c r="I10" s="91"/>
      <c r="J10" s="91"/>
      <c r="K10" s="93"/>
      <c r="L10" s="94"/>
      <c r="M10" s="95" t="n">
        <v>0</v>
      </c>
      <c r="N10" s="93"/>
      <c r="O10" s="94" t="n">
        <f aca="false">O9</f>
        <v>0.15</v>
      </c>
      <c r="P10" s="95" t="n">
        <v>0</v>
      </c>
      <c r="Q10" s="96" t="n">
        <v>0</v>
      </c>
      <c r="R10" s="97" t="str">
        <f aca="false">INDEX('Base Curitiba'!$K$7:$K$29,MATCH('Desl. Base Curitiba'!C10,'Base Curitiba'!$B$7:$B$29,0))</f>
        <v>SIM</v>
      </c>
      <c r="S10" s="98" t="n">
        <v>1</v>
      </c>
    </row>
    <row r="11" customFormat="false" ht="15.75" hidden="false" customHeight="true" outlineLevel="0" collapsed="false">
      <c r="B11" s="90" t="n">
        <v>4</v>
      </c>
      <c r="C11" s="72" t="s">
        <v>97</v>
      </c>
      <c r="D11" s="91" t="n">
        <v>9.1</v>
      </c>
      <c r="E11" s="91" t="n">
        <v>80.7</v>
      </c>
      <c r="F11" s="91" t="n">
        <v>92.4</v>
      </c>
      <c r="G11" s="92" t="n">
        <f aca="false">SUM(D11:F12)</f>
        <v>182.2</v>
      </c>
      <c r="H11" s="91" t="n">
        <v>22</v>
      </c>
      <c r="I11" s="91" t="n">
        <v>94</v>
      </c>
      <c r="J11" s="91" t="n">
        <v>121</v>
      </c>
      <c r="K11" s="93" t="n">
        <f aca="false">SUM(H11:J12)</f>
        <v>237</v>
      </c>
      <c r="L11" s="94" t="n">
        <f aca="false">K11/60</f>
        <v>3.95</v>
      </c>
      <c r="M11" s="95" t="n">
        <v>0</v>
      </c>
      <c r="N11" s="93" t="n">
        <v>2</v>
      </c>
      <c r="O11" s="94" t="n">
        <f aca="false">L11/N11</f>
        <v>1.975</v>
      </c>
      <c r="P11" s="95" t="n">
        <v>0</v>
      </c>
      <c r="Q11" s="96" t="n">
        <v>0</v>
      </c>
      <c r="R11" s="97" t="str">
        <f aca="false">INDEX('Base Curitiba'!$K$7:$K$29,MATCH('Desl. Base Curitiba'!C11,'Base Curitiba'!$B$7:$B$29,0))</f>
        <v>NÃO</v>
      </c>
      <c r="S11" s="98" t="n">
        <v>1</v>
      </c>
    </row>
    <row r="12" customFormat="false" ht="15.75" hidden="false" customHeight="true" outlineLevel="0" collapsed="false">
      <c r="B12" s="90"/>
      <c r="C12" s="72" t="s">
        <v>96</v>
      </c>
      <c r="D12" s="91"/>
      <c r="E12" s="91"/>
      <c r="F12" s="91"/>
      <c r="G12" s="92"/>
      <c r="H12" s="91"/>
      <c r="I12" s="91"/>
      <c r="J12" s="91"/>
      <c r="K12" s="93"/>
      <c r="L12" s="94"/>
      <c r="M12" s="95" t="n">
        <v>0</v>
      </c>
      <c r="N12" s="93"/>
      <c r="O12" s="94" t="n">
        <f aca="false">O11</f>
        <v>1.975</v>
      </c>
      <c r="P12" s="95" t="n">
        <v>0</v>
      </c>
      <c r="Q12" s="96" t="n">
        <v>0</v>
      </c>
      <c r="R12" s="97" t="str">
        <f aca="false">INDEX('Base Curitiba'!$K$7:$K$29,MATCH('Desl. Base Curitiba'!C12,'Base Curitiba'!$B$7:$B$29,0))</f>
        <v>SIM</v>
      </c>
      <c r="S12" s="98" t="n">
        <v>1</v>
      </c>
    </row>
    <row r="13" customFormat="false" ht="15.75" hidden="false" customHeight="true" outlineLevel="0" collapsed="false">
      <c r="B13" s="90" t="n">
        <v>5</v>
      </c>
      <c r="C13" s="72" t="s">
        <v>86</v>
      </c>
      <c r="D13" s="91" t="n">
        <v>6.8</v>
      </c>
      <c r="E13" s="91" t="n">
        <f aca="false">19.9-D13</f>
        <v>13.1</v>
      </c>
      <c r="F13" s="91" t="n">
        <v>16.4</v>
      </c>
      <c r="G13" s="92" t="n">
        <f aca="false">SUM(D13:F14)</f>
        <v>36.3</v>
      </c>
      <c r="H13" s="91" t="n">
        <v>18</v>
      </c>
      <c r="I13" s="91" t="n">
        <v>20</v>
      </c>
      <c r="J13" s="91" t="n">
        <v>30</v>
      </c>
      <c r="K13" s="93" t="n">
        <f aca="false">SUM(H13:J14)</f>
        <v>68</v>
      </c>
      <c r="L13" s="94" t="n">
        <f aca="false">K13/60</f>
        <v>1.13333333333333</v>
      </c>
      <c r="M13" s="95" t="n">
        <v>0</v>
      </c>
      <c r="N13" s="93" t="n">
        <v>2</v>
      </c>
      <c r="O13" s="94" t="n">
        <f aca="false">L13/N13</f>
        <v>0.566666666666667</v>
      </c>
      <c r="P13" s="95" t="n">
        <v>0</v>
      </c>
      <c r="Q13" s="96" t="n">
        <v>0</v>
      </c>
      <c r="R13" s="97" t="str">
        <f aca="false">INDEX('Base Curitiba'!$K$7:$K$29,MATCH('Desl. Base Curitiba'!C13,'Base Curitiba'!$B$7:$B$29,0))</f>
        <v>NÃO</v>
      </c>
      <c r="S13" s="98" t="n">
        <v>0</v>
      </c>
    </row>
    <row r="14" customFormat="false" ht="15.75" hidden="false" customHeight="true" outlineLevel="0" collapsed="false">
      <c r="B14" s="90"/>
      <c r="C14" s="72" t="s">
        <v>98</v>
      </c>
      <c r="D14" s="91"/>
      <c r="E14" s="91"/>
      <c r="F14" s="91"/>
      <c r="G14" s="92"/>
      <c r="H14" s="91"/>
      <c r="I14" s="91"/>
      <c r="J14" s="91"/>
      <c r="K14" s="93"/>
      <c r="L14" s="94"/>
      <c r="M14" s="95" t="n">
        <v>0</v>
      </c>
      <c r="N14" s="93"/>
      <c r="O14" s="94" t="n">
        <f aca="false">O13</f>
        <v>0.566666666666667</v>
      </c>
      <c r="P14" s="95" t="n">
        <v>0</v>
      </c>
      <c r="Q14" s="96" t="n">
        <v>0</v>
      </c>
      <c r="R14" s="97" t="str">
        <f aca="false">INDEX('Base Curitiba'!$K$7:$K$29,MATCH('Desl. Base Curitiba'!C14,'Base Curitiba'!$B$7:$B$29,0))</f>
        <v>NÃO</v>
      </c>
      <c r="S14" s="98" t="n">
        <v>0</v>
      </c>
    </row>
    <row r="15" customFormat="false" ht="15.75" hidden="false" customHeight="true" outlineLevel="0" collapsed="false">
      <c r="B15" s="90" t="n">
        <v>6</v>
      </c>
      <c r="C15" s="72" t="s">
        <v>89</v>
      </c>
      <c r="D15" s="91" t="n">
        <v>28</v>
      </c>
      <c r="E15" s="91" t="n">
        <v>15.6</v>
      </c>
      <c r="F15" s="91" t="n">
        <v>43</v>
      </c>
      <c r="G15" s="92" t="n">
        <f aca="false">SUM(D15:F16)</f>
        <v>86.6</v>
      </c>
      <c r="H15" s="91" t="n">
        <v>46</v>
      </c>
      <c r="I15" s="91" t="n">
        <v>11</v>
      </c>
      <c r="J15" s="91" t="n">
        <v>67</v>
      </c>
      <c r="K15" s="93" t="n">
        <f aca="false">SUM(H15:J16)</f>
        <v>124</v>
      </c>
      <c r="L15" s="94" t="n">
        <f aca="false">K15/60</f>
        <v>2.06666666666667</v>
      </c>
      <c r="M15" s="95" t="n">
        <v>0</v>
      </c>
      <c r="N15" s="93" t="n">
        <v>2</v>
      </c>
      <c r="O15" s="94" t="n">
        <f aca="false">L15/N15</f>
        <v>1.03333333333333</v>
      </c>
      <c r="P15" s="95" t="n">
        <v>0</v>
      </c>
      <c r="Q15" s="96" t="n">
        <v>0</v>
      </c>
      <c r="R15" s="97" t="str">
        <f aca="false">INDEX('Base Curitiba'!$K$7:$K$29,MATCH('Desl. Base Curitiba'!C15,'Base Curitiba'!$B$7:$B$29,0))</f>
        <v>NÃO</v>
      </c>
      <c r="S15" s="98" t="n">
        <v>0</v>
      </c>
    </row>
    <row r="16" customFormat="false" ht="15.75" hidden="false" customHeight="true" outlineLevel="0" collapsed="false">
      <c r="B16" s="90"/>
      <c r="C16" s="72" t="s">
        <v>95</v>
      </c>
      <c r="D16" s="91"/>
      <c r="E16" s="91"/>
      <c r="F16" s="91"/>
      <c r="G16" s="92"/>
      <c r="H16" s="91"/>
      <c r="I16" s="91"/>
      <c r="J16" s="91"/>
      <c r="K16" s="93"/>
      <c r="L16" s="94"/>
      <c r="M16" s="95" t="n">
        <v>0</v>
      </c>
      <c r="N16" s="93"/>
      <c r="O16" s="94" t="n">
        <f aca="false">O15</f>
        <v>1.03333333333333</v>
      </c>
      <c r="P16" s="95" t="n">
        <v>0</v>
      </c>
      <c r="Q16" s="96" t="n">
        <v>0</v>
      </c>
      <c r="R16" s="97" t="str">
        <f aca="false">INDEX('Base Curitiba'!$K$7:$K$29,MATCH('Desl. Base Curitiba'!C16,'Base Curitiba'!$B$7:$B$29,0))</f>
        <v>NÃO</v>
      </c>
      <c r="S16" s="98" t="n">
        <v>0</v>
      </c>
    </row>
    <row r="17" customFormat="false" ht="15.75" hidden="false" customHeight="true" outlineLevel="0" collapsed="false">
      <c r="B17" s="90" t="n">
        <v>7</v>
      </c>
      <c r="C17" s="72" t="s">
        <v>80</v>
      </c>
      <c r="D17" s="91" t="n">
        <v>26.8</v>
      </c>
      <c r="E17" s="91" t="n">
        <f aca="false">71.3-D17</f>
        <v>44.5</v>
      </c>
      <c r="F17" s="91" t="n">
        <v>71.2</v>
      </c>
      <c r="G17" s="92" t="n">
        <f aca="false">SUM(D17:F18)</f>
        <v>142.5</v>
      </c>
      <c r="H17" s="91" t="n">
        <v>45</v>
      </c>
      <c r="I17" s="91" t="n">
        <f aca="false">85-H17</f>
        <v>40</v>
      </c>
      <c r="J17" s="91" t="n">
        <v>97</v>
      </c>
      <c r="K17" s="93" t="n">
        <f aca="false">SUM(H17:J18)</f>
        <v>182</v>
      </c>
      <c r="L17" s="94" t="n">
        <f aca="false">K17/60</f>
        <v>3.03333333333333</v>
      </c>
      <c r="M17" s="95" t="n">
        <v>0</v>
      </c>
      <c r="N17" s="93" t="n">
        <v>2</v>
      </c>
      <c r="O17" s="94" t="n">
        <f aca="false">L17/N17</f>
        <v>1.51666666666667</v>
      </c>
      <c r="P17" s="95" t="n">
        <v>0</v>
      </c>
      <c r="Q17" s="96" t="n">
        <v>0</v>
      </c>
      <c r="R17" s="97" t="str">
        <f aca="false">INDEX('Base Curitiba'!$K$7:$K$29,MATCH('Desl. Base Curitiba'!C17,'Base Curitiba'!$B$7:$B$29,0))</f>
        <v>NÃO</v>
      </c>
      <c r="S17" s="98" t="n">
        <v>0</v>
      </c>
    </row>
    <row r="18" customFormat="false" ht="15.75" hidden="false" customHeight="true" outlineLevel="0" collapsed="false">
      <c r="B18" s="90"/>
      <c r="C18" s="72" t="s">
        <v>93</v>
      </c>
      <c r="D18" s="91"/>
      <c r="E18" s="91"/>
      <c r="F18" s="91"/>
      <c r="G18" s="92"/>
      <c r="H18" s="91"/>
      <c r="I18" s="91"/>
      <c r="J18" s="91"/>
      <c r="K18" s="93"/>
      <c r="L18" s="94"/>
      <c r="M18" s="95" t="n">
        <v>0</v>
      </c>
      <c r="N18" s="93"/>
      <c r="O18" s="94" t="n">
        <f aca="false">O17</f>
        <v>1.51666666666667</v>
      </c>
      <c r="P18" s="95" t="n">
        <v>0</v>
      </c>
      <c r="Q18" s="96" t="n">
        <v>0</v>
      </c>
      <c r="R18" s="97" t="str">
        <f aca="false">INDEX('Base Curitiba'!$K$7:$K$29,MATCH('Desl. Base Curitiba'!C18,'Base Curitiba'!$B$7:$B$29,0))</f>
        <v>NÃO</v>
      </c>
      <c r="S18" s="98" t="n">
        <v>0</v>
      </c>
    </row>
    <row r="19" customFormat="false" ht="15.75" hidden="false" customHeight="true" outlineLevel="0" collapsed="false">
      <c r="B19" s="90" t="n">
        <v>8</v>
      </c>
      <c r="C19" s="72" t="s">
        <v>84</v>
      </c>
      <c r="D19" s="91" t="n">
        <v>18.8</v>
      </c>
      <c r="E19" s="91" t="n">
        <f aca="false">37.9-D19</f>
        <v>19.1</v>
      </c>
      <c r="F19" s="91" t="n">
        <v>29.8</v>
      </c>
      <c r="G19" s="92" t="n">
        <f aca="false">SUM(D19:F20)</f>
        <v>67.7</v>
      </c>
      <c r="H19" s="91" t="n">
        <v>38</v>
      </c>
      <c r="I19" s="91" t="n">
        <f aca="false">71-H19</f>
        <v>33</v>
      </c>
      <c r="J19" s="91" t="n">
        <v>59</v>
      </c>
      <c r="K19" s="93" t="n">
        <f aca="false">SUM(H19:J20)</f>
        <v>130</v>
      </c>
      <c r="L19" s="94" t="n">
        <f aca="false">K19/60</f>
        <v>2.16666666666667</v>
      </c>
      <c r="M19" s="95" t="n">
        <v>0</v>
      </c>
      <c r="N19" s="93" t="n">
        <v>2</v>
      </c>
      <c r="O19" s="94" t="n">
        <f aca="false">L19/N19</f>
        <v>1.08333333333333</v>
      </c>
      <c r="P19" s="95" t="n">
        <v>0</v>
      </c>
      <c r="Q19" s="96" t="n">
        <v>0</v>
      </c>
      <c r="R19" s="97" t="str">
        <f aca="false">INDEX('Base Curitiba'!$K$7:$K$29,MATCH('Desl. Base Curitiba'!C19,'Base Curitiba'!$B$7:$B$29,0))</f>
        <v>NÃO</v>
      </c>
      <c r="S19" s="98" t="n">
        <v>0</v>
      </c>
    </row>
    <row r="20" customFormat="false" ht="15.75" hidden="false" customHeight="true" outlineLevel="0" collapsed="false">
      <c r="B20" s="90"/>
      <c r="C20" s="72" t="s">
        <v>91</v>
      </c>
      <c r="D20" s="91"/>
      <c r="E20" s="91"/>
      <c r="F20" s="91"/>
      <c r="G20" s="92"/>
      <c r="H20" s="91"/>
      <c r="I20" s="91"/>
      <c r="J20" s="91"/>
      <c r="K20" s="93"/>
      <c r="L20" s="94"/>
      <c r="M20" s="95" t="n">
        <v>0</v>
      </c>
      <c r="N20" s="93"/>
      <c r="O20" s="94" t="n">
        <f aca="false">O19</f>
        <v>1.08333333333333</v>
      </c>
      <c r="P20" s="95" t="n">
        <v>0</v>
      </c>
      <c r="Q20" s="96" t="n">
        <v>0</v>
      </c>
      <c r="R20" s="97" t="str">
        <f aca="false">INDEX('Base Curitiba'!$K$7:$K$29,MATCH('Desl. Base Curitiba'!C20,'Base Curitiba'!$B$7:$B$29,0))</f>
        <v>NÃO</v>
      </c>
      <c r="S20" s="98" t="n">
        <v>0</v>
      </c>
    </row>
    <row r="21" customFormat="false" ht="15.75" hidden="false" customHeight="true" outlineLevel="0" collapsed="false">
      <c r="B21" s="90" t="n">
        <v>9</v>
      </c>
      <c r="C21" s="72" t="s">
        <v>107</v>
      </c>
      <c r="D21" s="91" t="n">
        <v>117</v>
      </c>
      <c r="E21" s="91" t="n">
        <v>2</v>
      </c>
      <c r="F21" s="91" t="n">
        <v>115</v>
      </c>
      <c r="G21" s="92" t="n">
        <f aca="false">SUM(D21:F22)</f>
        <v>234</v>
      </c>
      <c r="H21" s="91" t="n">
        <v>95</v>
      </c>
      <c r="I21" s="91" t="n">
        <v>13</v>
      </c>
      <c r="J21" s="91" t="n">
        <v>102</v>
      </c>
      <c r="K21" s="93" t="n">
        <f aca="false">SUM(H21:J22)</f>
        <v>210</v>
      </c>
      <c r="L21" s="94" t="n">
        <f aca="false">K21/60</f>
        <v>3.5</v>
      </c>
      <c r="M21" s="95" t="n">
        <v>0</v>
      </c>
      <c r="N21" s="93" t="n">
        <v>2</v>
      </c>
      <c r="O21" s="94" t="n">
        <f aca="false">L21/N21</f>
        <v>1.75</v>
      </c>
      <c r="P21" s="95" t="n">
        <v>0</v>
      </c>
      <c r="Q21" s="96" t="n">
        <v>0</v>
      </c>
      <c r="R21" s="97" t="str">
        <f aca="false">INDEX('Base Curitiba'!$K$7:$K$29,MATCH('Desl. Base Curitiba'!C21,'Base Curitiba'!$B$7:$B$29,0))</f>
        <v>SIM</v>
      </c>
      <c r="S21" s="98" t="n">
        <v>1</v>
      </c>
    </row>
    <row r="22" customFormat="false" ht="15.75" hidden="false" customHeight="true" outlineLevel="0" collapsed="false">
      <c r="B22" s="90"/>
      <c r="C22" s="72" t="s">
        <v>106</v>
      </c>
      <c r="D22" s="91"/>
      <c r="E22" s="91"/>
      <c r="F22" s="91"/>
      <c r="G22" s="92"/>
      <c r="H22" s="91"/>
      <c r="I22" s="91"/>
      <c r="J22" s="91"/>
      <c r="K22" s="93"/>
      <c r="L22" s="94"/>
      <c r="M22" s="95" t="n">
        <v>0</v>
      </c>
      <c r="N22" s="93"/>
      <c r="O22" s="94" t="n">
        <f aca="false">O21</f>
        <v>1.75</v>
      </c>
      <c r="P22" s="95" t="n">
        <v>0</v>
      </c>
      <c r="Q22" s="96" t="n">
        <v>0</v>
      </c>
      <c r="R22" s="97" t="str">
        <f aca="false">INDEX('Base Curitiba'!$K$7:$K$29,MATCH('Desl. Base Curitiba'!C22,'Base Curitiba'!$B$7:$B$29,0))</f>
        <v>NÃO</v>
      </c>
      <c r="S22" s="98" t="n">
        <v>1</v>
      </c>
    </row>
    <row r="23" customFormat="false" ht="15.75" hidden="false" customHeight="true" outlineLevel="0" collapsed="false">
      <c r="B23" s="90" t="n">
        <v>10</v>
      </c>
      <c r="C23" s="102" t="s">
        <v>102</v>
      </c>
      <c r="D23" s="91" t="n">
        <v>155</v>
      </c>
      <c r="E23" s="91" t="n">
        <f aca="false">214-D23</f>
        <v>59</v>
      </c>
      <c r="F23" s="91" t="n">
        <v>148</v>
      </c>
      <c r="G23" s="92" t="n">
        <f aca="false">SUM(D23:F24)</f>
        <v>362</v>
      </c>
      <c r="H23" s="91" t="n">
        <v>128</v>
      </c>
      <c r="I23" s="91" t="n">
        <f aca="false">194-H23</f>
        <v>66</v>
      </c>
      <c r="J23" s="91" t="n">
        <v>141</v>
      </c>
      <c r="K23" s="93" t="n">
        <f aca="false">SUM(H23:J24)</f>
        <v>335</v>
      </c>
      <c r="L23" s="94" t="n">
        <f aca="false">K23/60</f>
        <v>5.58333333333333</v>
      </c>
      <c r="M23" s="95" t="n">
        <v>0</v>
      </c>
      <c r="N23" s="93" t="n">
        <v>2</v>
      </c>
      <c r="O23" s="94" t="n">
        <f aca="false">L23/N23</f>
        <v>2.79166666666667</v>
      </c>
      <c r="P23" s="95" t="n">
        <v>0</v>
      </c>
      <c r="Q23" s="96" t="n">
        <f aca="false">E49/2</f>
        <v>66.37</v>
      </c>
      <c r="R23" s="97" t="str">
        <f aca="false">INDEX('Base Curitiba'!$K$7:$K$29,MATCH('Desl. Base Curitiba'!C23,'Base Curitiba'!$B$7:$B$29,0))</f>
        <v>NÃO</v>
      </c>
      <c r="S23" s="98" t="n">
        <v>0</v>
      </c>
    </row>
    <row r="24" customFormat="false" ht="15.75" hidden="false" customHeight="true" outlineLevel="0" collapsed="false">
      <c r="B24" s="90"/>
      <c r="C24" s="102" t="s">
        <v>104</v>
      </c>
      <c r="D24" s="91"/>
      <c r="E24" s="91"/>
      <c r="F24" s="91"/>
      <c r="G24" s="92"/>
      <c r="H24" s="91"/>
      <c r="I24" s="91"/>
      <c r="J24" s="91"/>
      <c r="K24" s="93"/>
      <c r="L24" s="94"/>
      <c r="M24" s="95" t="n">
        <v>0</v>
      </c>
      <c r="N24" s="93"/>
      <c r="O24" s="94" t="n">
        <f aca="false">O23</f>
        <v>2.79166666666667</v>
      </c>
      <c r="P24" s="95" t="n">
        <v>0</v>
      </c>
      <c r="Q24" s="96" t="n">
        <f aca="false">Q23</f>
        <v>66.37</v>
      </c>
      <c r="R24" s="97" t="str">
        <f aca="false">INDEX('Base Curitiba'!$K$7:$K$29,MATCH('Desl. Base Curitiba'!C24,'Base Curitiba'!$B$7:$B$29,0))</f>
        <v>NÃO</v>
      </c>
      <c r="S24" s="98" t="n">
        <v>0</v>
      </c>
    </row>
    <row r="25" customFormat="false" ht="15.75" hidden="false" customHeight="true" outlineLevel="0" collapsed="false">
      <c r="B25" s="90" t="n">
        <v>11</v>
      </c>
      <c r="C25" s="73" t="s">
        <v>105</v>
      </c>
      <c r="D25" s="91" t="n">
        <v>242</v>
      </c>
      <c r="E25" s="91" t="n">
        <v>2</v>
      </c>
      <c r="F25" s="91" t="n">
        <v>236</v>
      </c>
      <c r="G25" s="92" t="n">
        <f aca="false">SUM(D25:F26)</f>
        <v>480</v>
      </c>
      <c r="H25" s="91" t="n">
        <v>212</v>
      </c>
      <c r="I25" s="91" t="n">
        <v>6</v>
      </c>
      <c r="J25" s="91" t="n">
        <v>224</v>
      </c>
      <c r="K25" s="93" t="n">
        <f aca="false">SUM(H25:J26)</f>
        <v>442</v>
      </c>
      <c r="L25" s="94" t="n">
        <f aca="false">K25/60</f>
        <v>7.36666666666667</v>
      </c>
      <c r="M25" s="95" t="n">
        <v>0</v>
      </c>
      <c r="N25" s="93" t="n">
        <v>2</v>
      </c>
      <c r="O25" s="94" t="n">
        <f aca="false">L25/N25</f>
        <v>3.68333333333333</v>
      </c>
      <c r="P25" s="95" t="n">
        <v>0</v>
      </c>
      <c r="Q25" s="96" t="n">
        <f aca="false">E49/2</f>
        <v>66.37</v>
      </c>
      <c r="R25" s="97" t="str">
        <f aca="false">INDEX('Base Curitiba'!$K$7:$K$29,MATCH('Desl. Base Curitiba'!C25,'Base Curitiba'!$B$7:$B$29,0))</f>
        <v>SIM</v>
      </c>
      <c r="S25" s="98" t="n">
        <v>1</v>
      </c>
    </row>
    <row r="26" customFormat="false" ht="15.75" hidden="false" customHeight="true" outlineLevel="0" collapsed="false">
      <c r="B26" s="90"/>
      <c r="C26" s="73" t="s">
        <v>108</v>
      </c>
      <c r="D26" s="91"/>
      <c r="E26" s="91"/>
      <c r="F26" s="91"/>
      <c r="G26" s="92"/>
      <c r="H26" s="91"/>
      <c r="I26" s="91"/>
      <c r="J26" s="91"/>
      <c r="K26" s="93"/>
      <c r="L26" s="94"/>
      <c r="M26" s="95" t="n">
        <v>0</v>
      </c>
      <c r="N26" s="93"/>
      <c r="O26" s="94" t="n">
        <f aca="false">O25</f>
        <v>3.68333333333333</v>
      </c>
      <c r="P26" s="95" t="n">
        <v>0</v>
      </c>
      <c r="Q26" s="96" t="n">
        <f aca="false">Q25</f>
        <v>66.37</v>
      </c>
      <c r="R26" s="97" t="str">
        <f aca="false">INDEX('Base Curitiba'!$K$7:$K$29,MATCH('Desl. Base Curitiba'!C26,'Base Curitiba'!$B$7:$B$29,0))</f>
        <v>SIM</v>
      </c>
      <c r="S26" s="98" t="n">
        <v>1</v>
      </c>
    </row>
    <row r="27" customFormat="false" ht="15.75" hidden="false" customHeight="true" outlineLevel="0" collapsed="false">
      <c r="B27" s="90" t="n">
        <v>12</v>
      </c>
      <c r="C27" s="73" t="s">
        <v>101</v>
      </c>
      <c r="D27" s="91" t="n">
        <v>159</v>
      </c>
      <c r="E27" s="91" t="n">
        <v>160</v>
      </c>
      <c r="F27" s="91" t="n">
        <v>0</v>
      </c>
      <c r="G27" s="92" t="n">
        <f aca="false">SUM(D27:F27)</f>
        <v>319</v>
      </c>
      <c r="H27" s="91" t="n">
        <v>132</v>
      </c>
      <c r="I27" s="91" t="n">
        <v>142</v>
      </c>
      <c r="J27" s="91" t="n">
        <v>0</v>
      </c>
      <c r="K27" s="93" t="n">
        <f aca="false">SUM(H27:J27)</f>
        <v>274</v>
      </c>
      <c r="L27" s="94" t="n">
        <f aca="false">K27/60</f>
        <v>4.56666666666667</v>
      </c>
      <c r="M27" s="95" t="n">
        <v>0</v>
      </c>
      <c r="N27" s="93" t="n">
        <v>1</v>
      </c>
      <c r="O27" s="94" t="n">
        <f aca="false">L27/N27</f>
        <v>4.56666666666667</v>
      </c>
      <c r="P27" s="95" t="n">
        <v>0</v>
      </c>
      <c r="Q27" s="95" t="n">
        <v>0</v>
      </c>
      <c r="R27" s="97" t="str">
        <f aca="false">INDEX('Base Curitiba'!$K$7:$K$29,MATCH('Desl. Base Curitiba'!C27,'Base Curitiba'!$B$7:$B$29,0))</f>
        <v>SIM</v>
      </c>
      <c r="S27" s="98" t="n">
        <v>1</v>
      </c>
    </row>
    <row r="28" customFormat="false" ht="19.5" hidden="false" customHeight="true" outlineLevel="0" collapsed="false">
      <c r="B28" s="103" t="s">
        <v>109</v>
      </c>
      <c r="C28" s="103"/>
      <c r="D28" s="103"/>
      <c r="E28" s="103"/>
      <c r="F28" s="103"/>
      <c r="G28" s="104" t="n">
        <f aca="false">SUM(G5:G27)</f>
        <v>2119.9</v>
      </c>
      <c r="H28" s="105" t="s">
        <v>109</v>
      </c>
      <c r="I28" s="105"/>
      <c r="J28" s="105"/>
      <c r="K28" s="106" t="n">
        <f aca="false">SUM(K5:K27)</f>
        <v>2266</v>
      </c>
      <c r="L28" s="107" t="n">
        <f aca="false">SUM(L5:L27)</f>
        <v>37.7666666666667</v>
      </c>
      <c r="M28" s="108" t="n">
        <f aca="false">SUM(M5:M27)</f>
        <v>0</v>
      </c>
      <c r="N28" s="109" t="n">
        <f aca="false">SUM(N5:N27)</f>
        <v>23</v>
      </c>
      <c r="O28" s="107"/>
      <c r="P28" s="108"/>
      <c r="Q28" s="108" t="n">
        <f aca="false">SUM(Q5:Q27)</f>
        <v>265.48</v>
      </c>
    </row>
    <row r="29" customFormat="false" ht="16.5" hidden="false" customHeight="true" outlineLevel="0" collapsed="false">
      <c r="B29" s="110"/>
      <c r="C29" s="110"/>
      <c r="D29" s="110"/>
      <c r="E29" s="110"/>
      <c r="F29" s="110"/>
    </row>
    <row r="30" customFormat="false" ht="18.75" hidden="false" customHeight="true" outlineLevel="0" collapsed="false">
      <c r="B30" s="111" t="s">
        <v>129</v>
      </c>
      <c r="C30" s="111"/>
      <c r="D30" s="111"/>
      <c r="E30" s="111"/>
      <c r="F30" s="110"/>
      <c r="G30" s="110"/>
      <c r="H30" s="110"/>
      <c r="I30" s="110"/>
      <c r="J30" s="110"/>
      <c r="K30" s="110"/>
      <c r="L30" s="110"/>
      <c r="M30" s="110"/>
      <c r="N30" s="112"/>
      <c r="O30" s="112"/>
    </row>
    <row r="31" customFormat="false" ht="18.75" hidden="false" customHeight="true" outlineLevel="0" collapsed="false">
      <c r="B31" s="113" t="s">
        <v>130</v>
      </c>
      <c r="C31" s="113" t="s">
        <v>131</v>
      </c>
      <c r="D31" s="113" t="s">
        <v>132</v>
      </c>
      <c r="E31" s="113" t="s">
        <v>133</v>
      </c>
      <c r="F31" s="110"/>
      <c r="G31" s="110"/>
      <c r="H31" s="112"/>
      <c r="I31" s="112"/>
      <c r="J31" s="110"/>
      <c r="K31" s="110"/>
      <c r="L31" s="110"/>
      <c r="M31" s="110"/>
      <c r="N31" s="112"/>
      <c r="O31" s="112"/>
    </row>
    <row r="32" customFormat="false" ht="18.75" hidden="false" customHeight="true" outlineLevel="0" collapsed="false">
      <c r="B32" s="48" t="s">
        <v>134</v>
      </c>
      <c r="C32" s="114" t="s">
        <v>135</v>
      </c>
      <c r="D32" s="48" t="s">
        <v>136</v>
      </c>
      <c r="E32" s="115" t="n">
        <f aca="false">'Comp. Veículo'!D11</f>
        <v>52.69</v>
      </c>
      <c r="F32" s="110"/>
      <c r="G32" s="110"/>
      <c r="H32" s="116"/>
      <c r="I32" s="116"/>
      <c r="J32" s="110"/>
      <c r="K32" s="110"/>
      <c r="L32" s="110"/>
      <c r="M32" s="110"/>
      <c r="N32" s="112"/>
      <c r="O32" s="112"/>
    </row>
    <row r="33" customFormat="false" ht="18.75" hidden="false" customHeight="true" outlineLevel="0" collapsed="false">
      <c r="B33" s="117" t="s">
        <v>137</v>
      </c>
      <c r="C33" s="118" t="s">
        <v>135</v>
      </c>
      <c r="D33" s="117" t="s">
        <v>138</v>
      </c>
      <c r="E33" s="119" t="n">
        <f aca="false">'Comp. Veículo'!D27</f>
        <v>6.95</v>
      </c>
      <c r="F33" s="110"/>
      <c r="G33" s="110"/>
      <c r="H33" s="116"/>
      <c r="I33" s="116"/>
      <c r="J33" s="110"/>
      <c r="K33" s="110"/>
      <c r="L33" s="110"/>
      <c r="M33" s="110"/>
      <c r="N33" s="112"/>
      <c r="O33" s="112"/>
    </row>
    <row r="34" customFormat="false" ht="47.25" hidden="false" customHeight="true" outlineLevel="0" collapsed="false">
      <c r="B34" s="120" t="s">
        <v>139</v>
      </c>
      <c r="C34" s="120"/>
      <c r="D34" s="120"/>
      <c r="E34" s="120"/>
      <c r="F34" s="121"/>
      <c r="G34" s="121"/>
      <c r="H34" s="121"/>
      <c r="I34" s="121"/>
      <c r="J34" s="121"/>
      <c r="K34" s="121"/>
      <c r="L34" s="121"/>
      <c r="M34" s="110"/>
      <c r="N34" s="112"/>
      <c r="O34" s="112"/>
    </row>
    <row r="35" customFormat="false" ht="16.5" hidden="false" customHeight="true" outlineLevel="0" collapsed="false">
      <c r="B35" s="122"/>
      <c r="C35" s="122"/>
      <c r="D35" s="122"/>
      <c r="E35" s="122"/>
      <c r="F35" s="121"/>
      <c r="G35" s="121"/>
      <c r="H35" s="121"/>
      <c r="I35" s="121"/>
      <c r="J35" s="121"/>
      <c r="K35" s="121"/>
      <c r="L35" s="121"/>
      <c r="M35" s="110"/>
      <c r="N35" s="112"/>
      <c r="O35" s="112"/>
    </row>
    <row r="36" customFormat="false" ht="16.5" hidden="false" customHeight="true" outlineLevel="0" collapsed="false">
      <c r="B36" s="111" t="s">
        <v>140</v>
      </c>
      <c r="C36" s="111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2"/>
      <c r="O36" s="112"/>
    </row>
    <row r="37" customFormat="false" ht="16.5" hidden="false" customHeight="true" outlineLevel="0" collapsed="false">
      <c r="B37" s="48" t="s">
        <v>136</v>
      </c>
      <c r="C37" s="115" t="n">
        <f aca="false">E32*L28</f>
        <v>1989.92566666667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2"/>
      <c r="O37" s="112"/>
    </row>
    <row r="38" customFormat="false" ht="16.5" hidden="false" customHeight="true" outlineLevel="0" collapsed="false">
      <c r="B38" s="48" t="s">
        <v>138</v>
      </c>
      <c r="C38" s="115" t="n">
        <f aca="false">E33*('Base Curitiba'!N30/12)</f>
        <v>550.411041666667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2"/>
      <c r="O38" s="112"/>
    </row>
    <row r="39" customFormat="false" ht="16.5" hidden="false" customHeight="true" outlineLevel="0" collapsed="false">
      <c r="B39" s="123" t="s">
        <v>27</v>
      </c>
      <c r="C39" s="124" t="n">
        <f aca="false">C37+C38</f>
        <v>2540.33670833333</v>
      </c>
      <c r="D39" s="110"/>
      <c r="E39" s="110"/>
      <c r="F39" s="110"/>
      <c r="G39" s="110"/>
      <c r="H39" s="110"/>
      <c r="I39" s="110"/>
      <c r="M39" s="110"/>
      <c r="N39" s="112"/>
      <c r="O39" s="112"/>
    </row>
    <row r="40" customFormat="false" ht="16.5" hidden="false" customHeight="true" outlineLevel="0" collapsed="false">
      <c r="B40" s="110"/>
      <c r="C40" s="125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2"/>
      <c r="O40" s="112"/>
    </row>
    <row r="41" customFormat="false" ht="16.5" hidden="false" customHeight="true" outlineLevel="0" collapsed="false">
      <c r="B41" s="126" t="s">
        <v>141</v>
      </c>
      <c r="C41" s="126"/>
      <c r="D41" s="110"/>
      <c r="J41" s="110"/>
      <c r="K41" s="110"/>
      <c r="L41" s="110"/>
      <c r="M41" s="110"/>
      <c r="N41" s="112"/>
      <c r="O41" s="112"/>
    </row>
    <row r="42" customFormat="false" ht="16.5" hidden="false" customHeight="true" outlineLevel="0" collapsed="false">
      <c r="B42" s="127" t="s">
        <v>133</v>
      </c>
      <c r="C42" s="128" t="n">
        <f aca="false">SUM(M5:M27)</f>
        <v>0</v>
      </c>
      <c r="J42" s="110"/>
      <c r="K42" s="110"/>
      <c r="L42" s="110"/>
      <c r="M42" s="110"/>
      <c r="N42" s="112"/>
      <c r="O42" s="112"/>
    </row>
    <row r="43" customFormat="false" ht="16.5" hidden="false" customHeight="true" outlineLevel="0" collapsed="false">
      <c r="B43" s="110"/>
      <c r="C43" s="129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2"/>
      <c r="O43" s="112"/>
    </row>
    <row r="44" customFormat="false" ht="13.5" hidden="false" customHeight="false" outlineLevel="0" collapsed="false">
      <c r="B44" s="130" t="s">
        <v>142</v>
      </c>
      <c r="C44" s="131"/>
    </row>
    <row r="46" customFormat="false" ht="13.5" hidden="false" customHeight="false" outlineLevel="0" collapsed="false">
      <c r="B46" s="132"/>
      <c r="C46" s="132"/>
      <c r="D46" s="132"/>
    </row>
    <row r="47" customFormat="false" ht="13.5" hidden="false" customHeight="false" outlineLevel="0" collapsed="false">
      <c r="B47" s="133" t="s">
        <v>66</v>
      </c>
      <c r="C47" s="133"/>
      <c r="D47" s="133"/>
      <c r="E47" s="133"/>
    </row>
    <row r="48" customFormat="false" ht="13.5" hidden="false" customHeight="false" outlineLevel="0" collapsed="false">
      <c r="B48" s="134" t="s">
        <v>143</v>
      </c>
      <c r="C48" s="134" t="s">
        <v>131</v>
      </c>
      <c r="D48" s="134" t="s">
        <v>132</v>
      </c>
      <c r="E48" s="134" t="s">
        <v>133</v>
      </c>
    </row>
    <row r="49" customFormat="false" ht="26.25" hidden="false" customHeight="false" outlineLevel="0" collapsed="false">
      <c r="B49" s="117" t="s">
        <v>144</v>
      </c>
      <c r="C49" s="135" t="s">
        <v>145</v>
      </c>
      <c r="D49" s="117" t="s">
        <v>146</v>
      </c>
      <c r="E49" s="119" t="n">
        <v>132.74</v>
      </c>
    </row>
    <row r="50" customFormat="false" ht="13.5" hidden="false" customHeight="false" outlineLevel="0" collapsed="false">
      <c r="B50" s="136" t="s">
        <v>147</v>
      </c>
      <c r="C50" s="136"/>
      <c r="D50" s="136"/>
      <c r="E50" s="136"/>
    </row>
  </sheetData>
  <mergeCells count="120">
    <mergeCell ref="B2:S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7:N18"/>
    <mergeCell ref="B19:B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N19:N20"/>
    <mergeCell ref="B21:B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N21:N22"/>
    <mergeCell ref="B23:B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N23:N24"/>
    <mergeCell ref="B25:B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N25:N26"/>
    <mergeCell ref="B28:F28"/>
    <mergeCell ref="H28:J28"/>
    <mergeCell ref="B30:E30"/>
    <mergeCell ref="B34:E34"/>
    <mergeCell ref="B36:C36"/>
    <mergeCell ref="B41:C41"/>
    <mergeCell ref="B47:E47"/>
    <mergeCell ref="B50:E50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Q1" colorId="64" zoomScale="110" zoomScaleNormal="110" zoomScalePageLayoutView="100" workbookViewId="0">
      <selection pane="topLeft" activeCell="W7" activeCellId="0" sqref="W7"/>
    </sheetView>
  </sheetViews>
  <sheetFormatPr defaultColWidth="8.6015625" defaultRowHeight="13.5" zeroHeight="false" outlineLevelRow="0" outlineLevelCol="0"/>
  <cols>
    <col collapsed="false" customWidth="true" hidden="false" outlineLevel="0" max="1" min="1" style="1" width="5.6"/>
    <col collapsed="false" customWidth="true" hidden="false" outlineLevel="0" max="2" min="2" style="1" width="3"/>
    <col collapsed="false" customWidth="true" hidden="false" outlineLevel="0" max="3" min="3" style="1" width="12.2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69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37" t="s">
        <v>148</v>
      </c>
      <c r="C2" s="137"/>
      <c r="D2" s="137"/>
      <c r="E2" s="137"/>
      <c r="F2" s="137"/>
      <c r="G2" s="137"/>
      <c r="H2" s="137"/>
      <c r="I2" s="137"/>
    </row>
    <row r="3" customFormat="false" ht="21" hidden="false" customHeight="true" outlineLevel="0" collapsed="false"/>
    <row r="4" customFormat="false" ht="16.5" hidden="false" customHeight="true" outlineLevel="0" collapsed="false">
      <c r="B4" s="138" t="s">
        <v>149</v>
      </c>
      <c r="C4" s="138"/>
      <c r="D4" s="138"/>
      <c r="E4" s="138"/>
      <c r="F4" s="138"/>
      <c r="G4" s="138"/>
      <c r="H4" s="138"/>
      <c r="I4" s="138"/>
    </row>
    <row r="5" customFormat="false" ht="16.5" hidden="false" customHeight="true" outlineLevel="0" collapsed="false">
      <c r="B5" s="139" t="s">
        <v>150</v>
      </c>
      <c r="C5" s="139"/>
      <c r="D5" s="140" t="s">
        <v>151</v>
      </c>
      <c r="E5" s="140"/>
      <c r="F5" s="140"/>
      <c r="G5" s="140"/>
      <c r="H5" s="140"/>
      <c r="I5" s="140"/>
    </row>
    <row r="6" customFormat="false" ht="16.5" hidden="false" customHeight="true" outlineLevel="0" collapsed="false">
      <c r="B6" s="139" t="s">
        <v>131</v>
      </c>
      <c r="C6" s="139"/>
      <c r="D6" s="140" t="s">
        <v>152</v>
      </c>
      <c r="E6" s="140"/>
      <c r="F6" s="140"/>
      <c r="G6" s="140"/>
      <c r="H6" s="140"/>
      <c r="I6" s="140"/>
    </row>
    <row r="7" customFormat="false" ht="16.5" hidden="false" customHeight="true" outlineLevel="0" collapsed="false">
      <c r="B7" s="139" t="s">
        <v>153</v>
      </c>
      <c r="C7" s="139"/>
      <c r="D7" s="141" t="s">
        <v>154</v>
      </c>
      <c r="E7" s="141"/>
      <c r="F7" s="141"/>
      <c r="G7" s="141"/>
      <c r="H7" s="141"/>
      <c r="I7" s="141"/>
    </row>
    <row r="8" customFormat="false" ht="16.5" hidden="false" customHeight="true" outlineLevel="0" collapsed="false">
      <c r="B8" s="139" t="s">
        <v>155</v>
      </c>
      <c r="C8" s="139"/>
      <c r="D8" s="140" t="s">
        <v>156</v>
      </c>
      <c r="E8" s="140"/>
      <c r="F8" s="140"/>
      <c r="G8" s="140"/>
      <c r="H8" s="140"/>
      <c r="I8" s="140"/>
    </row>
    <row r="9" customFormat="false" ht="16.5" hidden="false" customHeight="true" outlineLevel="0" collapsed="false">
      <c r="B9" s="139" t="s">
        <v>157</v>
      </c>
      <c r="C9" s="139"/>
      <c r="D9" s="140" t="s">
        <v>158</v>
      </c>
      <c r="E9" s="140"/>
      <c r="F9" s="140"/>
      <c r="G9" s="140"/>
      <c r="H9" s="140"/>
      <c r="I9" s="140"/>
    </row>
    <row r="10" customFormat="false" ht="16.5" hidden="false" customHeight="true" outlineLevel="0" collapsed="false">
      <c r="B10" s="139" t="s">
        <v>132</v>
      </c>
      <c r="C10" s="139"/>
      <c r="D10" s="140" t="s">
        <v>136</v>
      </c>
      <c r="E10" s="140"/>
      <c r="F10" s="140"/>
      <c r="G10" s="140"/>
      <c r="H10" s="140"/>
      <c r="I10" s="140"/>
    </row>
    <row r="11" customFormat="false" ht="23.25" hidden="false" customHeight="true" outlineLevel="0" collapsed="false">
      <c r="B11" s="142" t="s">
        <v>159</v>
      </c>
      <c r="C11" s="142"/>
      <c r="D11" s="143" t="n">
        <f aca="false">SUM(I14:I18)</f>
        <v>52.69</v>
      </c>
      <c r="E11" s="143"/>
      <c r="F11" s="143"/>
      <c r="G11" s="143"/>
      <c r="H11" s="143"/>
      <c r="I11" s="143"/>
    </row>
    <row r="12" customFormat="false" ht="15.75" hidden="false" customHeight="true" outlineLevel="0" collapsed="false">
      <c r="B12" s="144"/>
      <c r="C12" s="144"/>
      <c r="D12" s="145"/>
      <c r="E12" s="145"/>
      <c r="F12" s="145"/>
      <c r="G12" s="145"/>
      <c r="H12" s="145"/>
      <c r="I12" s="145"/>
    </row>
    <row r="13" customFormat="false" ht="29.25" hidden="false" customHeight="true" outlineLevel="0" collapsed="false">
      <c r="B13" s="146"/>
      <c r="C13" s="146" t="s">
        <v>160</v>
      </c>
      <c r="D13" s="146" t="s">
        <v>131</v>
      </c>
      <c r="E13" s="146" t="s">
        <v>157</v>
      </c>
      <c r="F13" s="146" t="s">
        <v>132</v>
      </c>
      <c r="G13" s="146" t="s">
        <v>159</v>
      </c>
      <c r="H13" s="146" t="s">
        <v>161</v>
      </c>
      <c r="I13" s="146" t="s">
        <v>159</v>
      </c>
    </row>
    <row r="14" customFormat="false" ht="27.75" hidden="false" customHeight="true" outlineLevel="0" collapsed="false">
      <c r="B14" s="147" t="s">
        <v>162</v>
      </c>
      <c r="C14" s="147" t="s">
        <v>163</v>
      </c>
      <c r="D14" s="148" t="s">
        <v>164</v>
      </c>
      <c r="E14" s="148" t="s">
        <v>158</v>
      </c>
      <c r="F14" s="147" t="s">
        <v>165</v>
      </c>
      <c r="G14" s="149" t="n">
        <v>4.86</v>
      </c>
      <c r="H14" s="149" t="s">
        <v>166</v>
      </c>
      <c r="I14" s="149" t="n">
        <f aca="false">G14*H14</f>
        <v>4.86</v>
      </c>
    </row>
    <row r="15" customFormat="false" ht="27.75" hidden="false" customHeight="true" outlineLevel="0" collapsed="false">
      <c r="B15" s="147" t="s">
        <v>162</v>
      </c>
      <c r="C15" s="147" t="s">
        <v>167</v>
      </c>
      <c r="D15" s="148" t="s">
        <v>168</v>
      </c>
      <c r="E15" s="148" t="s">
        <v>158</v>
      </c>
      <c r="F15" s="147" t="s">
        <v>165</v>
      </c>
      <c r="G15" s="149" t="n">
        <v>1.49</v>
      </c>
      <c r="H15" s="149" t="s">
        <v>166</v>
      </c>
      <c r="I15" s="149" t="n">
        <f aca="false">G15*H15</f>
        <v>1.49</v>
      </c>
    </row>
    <row r="16" customFormat="false" ht="42" hidden="false" customHeight="true" outlineLevel="0" collapsed="false">
      <c r="B16" s="147" t="s">
        <v>162</v>
      </c>
      <c r="C16" s="147" t="s">
        <v>169</v>
      </c>
      <c r="D16" s="148" t="s">
        <v>170</v>
      </c>
      <c r="E16" s="148" t="s">
        <v>158</v>
      </c>
      <c r="F16" s="147" t="s">
        <v>165</v>
      </c>
      <c r="G16" s="149" t="n">
        <v>0.6</v>
      </c>
      <c r="H16" s="149" t="s">
        <v>166</v>
      </c>
      <c r="I16" s="149" t="n">
        <f aca="false">G16*H16</f>
        <v>0.6</v>
      </c>
    </row>
    <row r="17" customFormat="false" ht="27.75" hidden="false" customHeight="true" outlineLevel="0" collapsed="false">
      <c r="B17" s="147" t="s">
        <v>162</v>
      </c>
      <c r="C17" s="147" t="s">
        <v>171</v>
      </c>
      <c r="D17" s="148" t="s">
        <v>172</v>
      </c>
      <c r="E17" s="148" t="s">
        <v>158</v>
      </c>
      <c r="F17" s="147" t="s">
        <v>165</v>
      </c>
      <c r="G17" s="149" t="n">
        <v>6.07</v>
      </c>
      <c r="H17" s="149" t="s">
        <v>166</v>
      </c>
      <c r="I17" s="149" t="n">
        <f aca="false">G17*H17</f>
        <v>6.07</v>
      </c>
    </row>
    <row r="18" customFormat="false" ht="42" hidden="false" customHeight="true" outlineLevel="0" collapsed="false">
      <c r="B18" s="147" t="s">
        <v>162</v>
      </c>
      <c r="C18" s="147" t="s">
        <v>173</v>
      </c>
      <c r="D18" s="148" t="s">
        <v>174</v>
      </c>
      <c r="E18" s="148" t="s">
        <v>158</v>
      </c>
      <c r="F18" s="147" t="s">
        <v>165</v>
      </c>
      <c r="G18" s="149" t="n">
        <v>39.67</v>
      </c>
      <c r="H18" s="149" t="s">
        <v>166</v>
      </c>
      <c r="I18" s="149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37" t="s">
        <v>175</v>
      </c>
      <c r="C20" s="137"/>
      <c r="D20" s="137"/>
      <c r="E20" s="137"/>
      <c r="F20" s="137"/>
      <c r="G20" s="137"/>
      <c r="H20" s="137"/>
      <c r="I20" s="137"/>
    </row>
    <row r="21" customFormat="false" ht="16.5" hidden="false" customHeight="true" outlineLevel="0" collapsed="false">
      <c r="B21" s="142" t="s">
        <v>150</v>
      </c>
      <c r="C21" s="142"/>
      <c r="D21" s="150" t="s">
        <v>176</v>
      </c>
      <c r="E21" s="150"/>
      <c r="F21" s="150"/>
      <c r="G21" s="150"/>
      <c r="H21" s="150"/>
      <c r="I21" s="150"/>
    </row>
    <row r="22" customFormat="false" ht="16.5" hidden="false" customHeight="true" outlineLevel="0" collapsed="false">
      <c r="B22" s="142" t="s">
        <v>131</v>
      </c>
      <c r="C22" s="142"/>
      <c r="D22" s="150" t="s">
        <v>177</v>
      </c>
      <c r="E22" s="150"/>
      <c r="F22" s="150"/>
      <c r="G22" s="150"/>
      <c r="H22" s="150"/>
      <c r="I22" s="150"/>
    </row>
    <row r="23" customFormat="false" ht="16.5" hidden="false" customHeight="true" outlineLevel="0" collapsed="false">
      <c r="B23" s="142" t="s">
        <v>153</v>
      </c>
      <c r="C23" s="142"/>
      <c r="D23" s="151" t="str">
        <f aca="false">D7</f>
        <v>09/2023</v>
      </c>
      <c r="E23" s="151"/>
      <c r="F23" s="151"/>
      <c r="G23" s="151"/>
      <c r="H23" s="151"/>
      <c r="I23" s="151"/>
    </row>
    <row r="24" customFormat="false" ht="16.5" hidden="false" customHeight="true" outlineLevel="0" collapsed="false">
      <c r="B24" s="142" t="s">
        <v>155</v>
      </c>
      <c r="C24" s="142"/>
      <c r="D24" s="150" t="str">
        <f aca="false">D8</f>
        <v>Paraná</v>
      </c>
      <c r="E24" s="150"/>
      <c r="F24" s="150"/>
      <c r="G24" s="150"/>
      <c r="H24" s="150"/>
      <c r="I24" s="150"/>
    </row>
    <row r="25" customFormat="false" ht="16.5" hidden="false" customHeight="true" outlineLevel="0" collapsed="false">
      <c r="B25" s="142" t="s">
        <v>157</v>
      </c>
      <c r="C25" s="142"/>
      <c r="D25" s="150" t="s">
        <v>158</v>
      </c>
      <c r="E25" s="150"/>
      <c r="F25" s="150"/>
      <c r="G25" s="150"/>
      <c r="H25" s="150"/>
      <c r="I25" s="150"/>
    </row>
    <row r="26" customFormat="false" ht="16.5" hidden="false" customHeight="true" outlineLevel="0" collapsed="false">
      <c r="B26" s="142" t="s">
        <v>132</v>
      </c>
      <c r="C26" s="142"/>
      <c r="D26" s="150" t="s">
        <v>138</v>
      </c>
      <c r="E26" s="150"/>
      <c r="F26" s="150"/>
      <c r="G26" s="150"/>
      <c r="H26" s="150"/>
      <c r="I26" s="150"/>
    </row>
    <row r="27" customFormat="false" ht="23.25" hidden="false" customHeight="true" outlineLevel="0" collapsed="false">
      <c r="B27" s="142" t="s">
        <v>159</v>
      </c>
      <c r="C27" s="142"/>
      <c r="D27" s="152" t="n">
        <f aca="false">SUM(I30:I32)</f>
        <v>6.95</v>
      </c>
      <c r="E27" s="152"/>
      <c r="F27" s="152"/>
      <c r="G27" s="152"/>
      <c r="H27" s="152"/>
      <c r="I27" s="152"/>
    </row>
    <row r="28" customFormat="false" ht="15.75" hidden="false" customHeight="true" outlineLevel="0" collapsed="false">
      <c r="B28" s="144"/>
      <c r="C28" s="144"/>
      <c r="D28" s="145"/>
      <c r="E28" s="145"/>
      <c r="F28" s="145"/>
      <c r="G28" s="145"/>
      <c r="H28" s="145"/>
      <c r="I28" s="145"/>
    </row>
    <row r="29" customFormat="false" ht="29.25" hidden="false" customHeight="true" outlineLevel="0" collapsed="false">
      <c r="B29" s="146"/>
      <c r="C29" s="146" t="s">
        <v>160</v>
      </c>
      <c r="D29" s="146" t="s">
        <v>131</v>
      </c>
      <c r="E29" s="146" t="s">
        <v>157</v>
      </c>
      <c r="F29" s="146" t="s">
        <v>132</v>
      </c>
      <c r="G29" s="146" t="s">
        <v>159</v>
      </c>
      <c r="H29" s="146" t="s">
        <v>161</v>
      </c>
      <c r="I29" s="146" t="s">
        <v>159</v>
      </c>
    </row>
    <row r="30" customFormat="false" ht="27.75" hidden="false" customHeight="true" outlineLevel="0" collapsed="false">
      <c r="B30" s="147" t="s">
        <v>162</v>
      </c>
      <c r="C30" s="147" t="s">
        <v>163</v>
      </c>
      <c r="D30" s="148" t="s">
        <v>164</v>
      </c>
      <c r="E30" s="148" t="s">
        <v>158</v>
      </c>
      <c r="F30" s="147" t="s">
        <v>165</v>
      </c>
      <c r="G30" s="149" t="n">
        <f aca="false">G14</f>
        <v>4.86</v>
      </c>
      <c r="H30" s="153" t="s">
        <v>166</v>
      </c>
      <c r="I30" s="149" t="n">
        <f aca="false">G30*H30</f>
        <v>4.86</v>
      </c>
    </row>
    <row r="31" customFormat="false" ht="27.75" hidden="false" customHeight="true" outlineLevel="0" collapsed="false">
      <c r="B31" s="147" t="s">
        <v>162</v>
      </c>
      <c r="C31" s="147" t="s">
        <v>167</v>
      </c>
      <c r="D31" s="148" t="s">
        <v>168</v>
      </c>
      <c r="E31" s="148" t="s">
        <v>158</v>
      </c>
      <c r="F31" s="147" t="s">
        <v>165</v>
      </c>
      <c r="G31" s="149" t="n">
        <f aca="false">G15</f>
        <v>1.49</v>
      </c>
      <c r="H31" s="153" t="s">
        <v>166</v>
      </c>
      <c r="I31" s="149" t="n">
        <f aca="false">G31*H31</f>
        <v>1.49</v>
      </c>
    </row>
    <row r="32" customFormat="false" ht="42" hidden="false" customHeight="true" outlineLevel="0" collapsed="false">
      <c r="B32" s="147" t="s">
        <v>162</v>
      </c>
      <c r="C32" s="147" t="s">
        <v>169</v>
      </c>
      <c r="D32" s="148" t="s">
        <v>170</v>
      </c>
      <c r="E32" s="148" t="s">
        <v>158</v>
      </c>
      <c r="F32" s="147" t="s">
        <v>165</v>
      </c>
      <c r="G32" s="149" t="n">
        <f aca="false">G16</f>
        <v>0.6</v>
      </c>
      <c r="H32" s="153" t="s">
        <v>166</v>
      </c>
      <c r="I32" s="149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S6" activeCellId="0" sqref="S6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54" width="5.2"/>
    <col collapsed="false" customWidth="true" hidden="false" outlineLevel="0" max="2" min="2" style="154" width="34.96"/>
    <col collapsed="false" customWidth="true" hidden="false" outlineLevel="0" max="3" min="3" style="154" width="28.85"/>
    <col collapsed="false" customWidth="true" hidden="false" outlineLevel="0" max="4" min="4" style="154" width="15.6"/>
    <col collapsed="false" customWidth="true" hidden="false" outlineLevel="0" max="5" min="5" style="154" width="7.79"/>
    <col collapsed="false" customWidth="false" hidden="false" outlineLevel="0" max="6" min="6" style="154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55" t="s">
        <v>178</v>
      </c>
    </row>
    <row r="3" customFormat="false" ht="15" hidden="false" customHeight="true" outlineLevel="0" collapsed="false">
      <c r="B3" s="156" t="s">
        <v>179</v>
      </c>
      <c r="C3" s="155" t="s">
        <v>180</v>
      </c>
    </row>
    <row r="4" customFormat="false" ht="15" hidden="false" customHeight="true" outlineLevel="0" collapsed="false">
      <c r="B4" s="156" t="s">
        <v>181</v>
      </c>
      <c r="C4" s="157" t="s">
        <v>182</v>
      </c>
    </row>
    <row r="5" customFormat="false" ht="15" hidden="false" customHeight="true" outlineLevel="0" collapsed="false">
      <c r="B5" s="156" t="s">
        <v>183</v>
      </c>
      <c r="C5" s="157" t="n">
        <v>45200</v>
      </c>
    </row>
    <row r="6" customFormat="false" ht="15" hidden="false" customHeight="true" outlineLevel="0" collapsed="false">
      <c r="B6" s="156" t="s">
        <v>184</v>
      </c>
      <c r="C6" s="158" t="n">
        <v>56.25</v>
      </c>
    </row>
    <row r="7" customFormat="false" ht="12.8" hidden="false" customHeight="false" outlineLevel="0" collapsed="false">
      <c r="B7" s="159"/>
      <c r="C7" s="160"/>
    </row>
    <row r="8" customFormat="false" ht="27.75" hidden="false" customHeight="true" outlineLevel="0" collapsed="false">
      <c r="B8" s="161" t="s">
        <v>185</v>
      </c>
      <c r="C8" s="162" t="s">
        <v>186</v>
      </c>
    </row>
    <row r="9" customFormat="false" ht="15" hidden="false" customHeight="true" outlineLevel="0" collapsed="false">
      <c r="B9" s="156" t="s">
        <v>187</v>
      </c>
      <c r="C9" s="163" t="n">
        <v>0.8708</v>
      </c>
    </row>
    <row r="10" customFormat="false" ht="15" hidden="false" customHeight="true" outlineLevel="0" collapsed="false">
      <c r="B10" s="156" t="s">
        <v>188</v>
      </c>
      <c r="C10" s="163" t="n">
        <v>1.17</v>
      </c>
    </row>
    <row r="11" customFormat="false" ht="13.5" hidden="false" customHeight="true" outlineLevel="0" collapsed="false">
      <c r="B11" s="159"/>
      <c r="C11" s="159"/>
    </row>
    <row r="12" customFormat="false" ht="15" hidden="false" customHeight="true" outlineLevel="0" collapsed="false">
      <c r="B12" s="164" t="s">
        <v>189</v>
      </c>
      <c r="C12" s="165"/>
    </row>
    <row r="13" customFormat="false" ht="15" hidden="false" customHeight="true" outlineLevel="0" collapsed="false">
      <c r="B13" s="156" t="s">
        <v>190</v>
      </c>
      <c r="C13" s="166" t="n">
        <f aca="false">C6*(1+C9)</f>
        <v>105.2325</v>
      </c>
      <c r="D13" s="167"/>
      <c r="F13" s="168"/>
    </row>
    <row r="14" customFormat="false" ht="15" hidden="false" customHeight="true" outlineLevel="0" collapsed="false">
      <c r="B14" s="156" t="s">
        <v>191</v>
      </c>
      <c r="C14" s="166" t="n">
        <f aca="false">C6*(1+C10)</f>
        <v>122.0625</v>
      </c>
      <c r="D14" s="167"/>
      <c r="F14" s="168"/>
    </row>
    <row r="16" customFormat="false" ht="32.25" hidden="false" customHeight="true" outlineLevel="0" collapsed="false">
      <c r="B16" s="169" t="s">
        <v>192</v>
      </c>
      <c r="C16" s="169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false" showRowColHeaders="true" showZeros="true" rightToLeft="false" tabSelected="false" showOutlineSymbols="true" defaultGridColor="true" view="normal" topLeftCell="A7" colorId="64" zoomScale="108" zoomScaleNormal="108" zoomScalePageLayoutView="100" workbookViewId="0">
      <selection pane="topLeft" activeCell="D11" activeCellId="0" sqref="D11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37" t="s">
        <v>193</v>
      </c>
      <c r="C2" s="137"/>
      <c r="D2" s="137"/>
      <c r="E2" s="137"/>
      <c r="F2" s="137"/>
      <c r="G2" s="137"/>
      <c r="H2" s="137"/>
      <c r="I2" s="137"/>
    </row>
    <row r="3" customFormat="false" ht="19.5" hidden="false" customHeight="true" outlineLevel="0" collapsed="false"/>
    <row r="4" customFormat="false" ht="16.5" hidden="false" customHeight="true" outlineLevel="0" collapsed="false">
      <c r="B4" s="138" t="s">
        <v>194</v>
      </c>
      <c r="C4" s="138"/>
      <c r="D4" s="138"/>
      <c r="E4" s="138"/>
      <c r="F4" s="138"/>
      <c r="G4" s="138"/>
      <c r="H4" s="138"/>
      <c r="I4" s="138"/>
    </row>
    <row r="5" customFormat="false" ht="16.5" hidden="false" customHeight="true" outlineLevel="0" collapsed="false">
      <c r="B5" s="139" t="s">
        <v>150</v>
      </c>
      <c r="C5" s="139"/>
      <c r="D5" s="140" t="n">
        <v>91677</v>
      </c>
      <c r="E5" s="140"/>
      <c r="F5" s="140"/>
      <c r="G5" s="140"/>
      <c r="H5" s="140"/>
      <c r="I5" s="140"/>
    </row>
    <row r="6" customFormat="false" ht="16.5" hidden="false" customHeight="true" outlineLevel="0" collapsed="false">
      <c r="B6" s="139" t="s">
        <v>131</v>
      </c>
      <c r="C6" s="139"/>
      <c r="D6" s="140" t="s">
        <v>195</v>
      </c>
      <c r="E6" s="140"/>
      <c r="F6" s="140"/>
      <c r="G6" s="140"/>
      <c r="H6" s="140"/>
      <c r="I6" s="140"/>
    </row>
    <row r="7" customFormat="false" ht="16.5" hidden="false" customHeight="true" outlineLevel="0" collapsed="false">
      <c r="B7" s="139" t="s">
        <v>153</v>
      </c>
      <c r="C7" s="139"/>
      <c r="D7" s="141" t="s">
        <v>196</v>
      </c>
      <c r="E7" s="141"/>
      <c r="F7" s="141"/>
      <c r="G7" s="141"/>
      <c r="H7" s="141"/>
      <c r="I7" s="141"/>
    </row>
    <row r="8" customFormat="false" ht="16.5" hidden="false" customHeight="true" outlineLevel="0" collapsed="false">
      <c r="B8" s="139" t="s">
        <v>155</v>
      </c>
      <c r="C8" s="139"/>
      <c r="D8" s="140" t="s">
        <v>178</v>
      </c>
      <c r="E8" s="140"/>
      <c r="F8" s="140"/>
      <c r="G8" s="140"/>
      <c r="H8" s="140"/>
      <c r="I8" s="140"/>
    </row>
    <row r="9" customFormat="false" ht="16.5" hidden="false" customHeight="true" outlineLevel="0" collapsed="false">
      <c r="B9" s="139" t="s">
        <v>157</v>
      </c>
      <c r="C9" s="139"/>
      <c r="D9" s="140" t="s">
        <v>197</v>
      </c>
      <c r="E9" s="140"/>
      <c r="F9" s="140"/>
      <c r="G9" s="140"/>
      <c r="H9" s="140"/>
      <c r="I9" s="140"/>
    </row>
    <row r="10" customFormat="false" ht="16.5" hidden="false" customHeight="true" outlineLevel="0" collapsed="false">
      <c r="B10" s="139" t="s">
        <v>132</v>
      </c>
      <c r="C10" s="139"/>
      <c r="D10" s="140" t="s">
        <v>165</v>
      </c>
      <c r="E10" s="140"/>
      <c r="F10" s="140"/>
      <c r="G10" s="140"/>
      <c r="H10" s="140"/>
      <c r="I10" s="140"/>
    </row>
    <row r="11" customFormat="false" ht="23.25" hidden="false" customHeight="true" outlineLevel="0" collapsed="false">
      <c r="B11" s="142" t="s">
        <v>159</v>
      </c>
      <c r="C11" s="142"/>
      <c r="D11" s="143" t="n">
        <f aca="false">SUM(I15:I20)</f>
        <v>127.8325</v>
      </c>
      <c r="E11" s="143"/>
      <c r="F11" s="143"/>
      <c r="G11" s="143"/>
      <c r="H11" s="143"/>
      <c r="I11" s="143"/>
    </row>
    <row r="12" customFormat="false" ht="15.75" hidden="false" customHeight="true" outlineLevel="0" collapsed="false">
      <c r="B12" s="144"/>
      <c r="C12" s="144"/>
      <c r="D12" s="145"/>
      <c r="E12" s="145"/>
      <c r="F12" s="145"/>
      <c r="G12" s="145"/>
      <c r="H12" s="145"/>
      <c r="I12" s="145"/>
    </row>
    <row r="13" customFormat="false" ht="15.75" hidden="false" customHeight="true" outlineLevel="0" collapsed="false">
      <c r="B13" s="144"/>
      <c r="C13" s="144"/>
      <c r="D13" s="145"/>
      <c r="E13" s="145"/>
      <c r="F13" s="145"/>
      <c r="G13" s="145"/>
      <c r="H13" s="145"/>
      <c r="I13" s="145"/>
    </row>
    <row r="14" customFormat="false" ht="39.5" hidden="false" customHeight="false" outlineLevel="0" collapsed="false">
      <c r="B14" s="146"/>
      <c r="C14" s="146" t="s">
        <v>160</v>
      </c>
      <c r="D14" s="146" t="s">
        <v>131</v>
      </c>
      <c r="E14" s="146" t="s">
        <v>157</v>
      </c>
      <c r="F14" s="146" t="s">
        <v>132</v>
      </c>
      <c r="G14" s="146" t="s">
        <v>198</v>
      </c>
      <c r="H14" s="146" t="s">
        <v>161</v>
      </c>
      <c r="I14" s="146" t="s">
        <v>159</v>
      </c>
    </row>
    <row r="15" customFormat="false" ht="19.5" hidden="false" customHeight="true" outlineLevel="0" collapsed="false">
      <c r="B15" s="147" t="s">
        <v>199</v>
      </c>
      <c r="C15" s="147" t="s">
        <v>200</v>
      </c>
      <c r="D15" s="147" t="s">
        <v>201</v>
      </c>
      <c r="E15" s="147" t="s">
        <v>202</v>
      </c>
      <c r="F15" s="147" t="s">
        <v>165</v>
      </c>
      <c r="G15" s="149" t="n">
        <v>3.84</v>
      </c>
      <c r="H15" s="149" t="n">
        <v>1</v>
      </c>
      <c r="I15" s="170" t="n">
        <f aca="false">G15*H15</f>
        <v>3.84</v>
      </c>
      <c r="J15" s="171"/>
      <c r="K15" s="171"/>
    </row>
    <row r="16" customFormat="false" ht="19.5" hidden="false" customHeight="true" outlineLevel="0" collapsed="false">
      <c r="B16" s="147" t="s">
        <v>199</v>
      </c>
      <c r="C16" s="147" t="s">
        <v>203</v>
      </c>
      <c r="D16" s="147" t="s">
        <v>180</v>
      </c>
      <c r="E16" s="147" t="s">
        <v>204</v>
      </c>
      <c r="F16" s="147" t="s">
        <v>165</v>
      </c>
      <c r="G16" s="149" t="n">
        <f aca="false">'Custo Eng. Eletricista'!C14</f>
        <v>122.0625</v>
      </c>
      <c r="H16" s="149" t="n">
        <v>1</v>
      </c>
      <c r="I16" s="170" t="n">
        <f aca="false">G16*H16</f>
        <v>122.0625</v>
      </c>
      <c r="J16" s="171"/>
      <c r="K16" s="171"/>
    </row>
    <row r="17" customFormat="false" ht="30" hidden="false" customHeight="true" outlineLevel="0" collapsed="false">
      <c r="B17" s="147" t="s">
        <v>199</v>
      </c>
      <c r="C17" s="147" t="s">
        <v>205</v>
      </c>
      <c r="D17" s="147" t="s">
        <v>206</v>
      </c>
      <c r="E17" s="147" t="s">
        <v>207</v>
      </c>
      <c r="F17" s="147" t="s">
        <v>165</v>
      </c>
      <c r="G17" s="149" t="s">
        <v>208</v>
      </c>
      <c r="H17" s="149" t="n">
        <v>1</v>
      </c>
      <c r="I17" s="170" t="n">
        <f aca="false">G17*H17</f>
        <v>1.14</v>
      </c>
      <c r="J17" s="171"/>
      <c r="K17" s="171"/>
    </row>
    <row r="18" customFormat="false" ht="30" hidden="false" customHeight="true" outlineLevel="0" collapsed="false">
      <c r="B18" s="147" t="s">
        <v>199</v>
      </c>
      <c r="C18" s="147" t="s">
        <v>209</v>
      </c>
      <c r="D18" s="147" t="s">
        <v>210</v>
      </c>
      <c r="E18" s="147" t="s">
        <v>211</v>
      </c>
      <c r="F18" s="147" t="s">
        <v>165</v>
      </c>
      <c r="G18" s="149" t="s">
        <v>212</v>
      </c>
      <c r="H18" s="149" t="n">
        <v>1</v>
      </c>
      <c r="I18" s="170" t="n">
        <f aca="false">G18*H18</f>
        <v>0.07</v>
      </c>
      <c r="J18" s="171"/>
      <c r="K18" s="171"/>
    </row>
    <row r="19" customFormat="false" ht="30" hidden="false" customHeight="true" outlineLevel="0" collapsed="false">
      <c r="B19" s="147" t="s">
        <v>199</v>
      </c>
      <c r="C19" s="147" t="s">
        <v>213</v>
      </c>
      <c r="D19" s="147" t="s">
        <v>214</v>
      </c>
      <c r="E19" s="147" t="s">
        <v>215</v>
      </c>
      <c r="F19" s="147" t="s">
        <v>165</v>
      </c>
      <c r="G19" s="149" t="s">
        <v>216</v>
      </c>
      <c r="H19" s="149" t="n">
        <v>1</v>
      </c>
      <c r="I19" s="170" t="n">
        <f aca="false">G19*H19</f>
        <v>0.01</v>
      </c>
      <c r="J19" s="171"/>
      <c r="K19" s="171"/>
    </row>
    <row r="20" customFormat="false" ht="30" hidden="false" customHeight="true" outlineLevel="0" collapsed="false">
      <c r="B20" s="147" t="s">
        <v>199</v>
      </c>
      <c r="C20" s="147" t="s">
        <v>217</v>
      </c>
      <c r="D20" s="147" t="s">
        <v>218</v>
      </c>
      <c r="E20" s="147" t="s">
        <v>215</v>
      </c>
      <c r="F20" s="147" t="s">
        <v>165</v>
      </c>
      <c r="G20" s="149" t="s">
        <v>219</v>
      </c>
      <c r="H20" s="149" t="n">
        <v>1</v>
      </c>
      <c r="I20" s="170" t="n">
        <f aca="false">G20*H20</f>
        <v>0.71</v>
      </c>
      <c r="J20" s="171"/>
      <c r="K20" s="171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86" zoomScaleNormal="86" zoomScalePageLayoutView="10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72" width="5.2"/>
    <col collapsed="false" customWidth="true" hidden="false" outlineLevel="0" max="2" min="2" style="172" width="54.8"/>
    <col collapsed="false" customWidth="true" hidden="false" outlineLevel="0" max="3" min="3" style="172" width="38.7"/>
    <col collapsed="false" customWidth="true" hidden="false" outlineLevel="0" max="4" min="4" style="172" width="31.1"/>
    <col collapsed="false" customWidth="false" hidden="false" outlineLevel="0" max="1024" min="5" style="172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173" t="s">
        <v>178</v>
      </c>
    </row>
    <row r="3" customFormat="false" ht="13.5" hidden="false" customHeight="false" outlineLevel="0" collapsed="false">
      <c r="B3" s="174" t="s">
        <v>220</v>
      </c>
      <c r="C3" s="173" t="s">
        <v>221</v>
      </c>
    </row>
    <row r="4" customFormat="false" ht="15" hidden="false" customHeight="false" outlineLevel="0" collapsed="false">
      <c r="B4" s="174" t="s">
        <v>222</v>
      </c>
      <c r="C4" s="175" t="s">
        <v>223</v>
      </c>
    </row>
    <row r="5" customFormat="false" ht="13.5" hidden="false" customHeight="false" outlineLevel="0" collapsed="false">
      <c r="B5" s="174" t="s">
        <v>183</v>
      </c>
      <c r="C5" s="175" t="n">
        <v>45078</v>
      </c>
    </row>
    <row r="6" customFormat="false" ht="27" hidden="false" customHeight="false" outlineLevel="0" collapsed="false">
      <c r="B6" s="174" t="s">
        <v>224</v>
      </c>
      <c r="C6" s="176" t="s">
        <v>225</v>
      </c>
    </row>
    <row r="7" customFormat="false" ht="13.5" hidden="false" customHeight="false" outlineLevel="0" collapsed="false">
      <c r="B7" s="174" t="s">
        <v>226</v>
      </c>
      <c r="C7" s="177" t="n">
        <v>2596</v>
      </c>
    </row>
    <row r="8" customFormat="false" ht="13.5" hidden="false" customHeight="false" outlineLevel="0" collapsed="false">
      <c r="B8" s="178"/>
      <c r="C8" s="179"/>
    </row>
    <row r="9" customFormat="false" ht="26.25" hidden="false" customHeight="false" outlineLevel="0" collapsed="false">
      <c r="B9" s="180" t="s">
        <v>227</v>
      </c>
      <c r="C9" s="174"/>
    </row>
    <row r="10" customFormat="false" ht="13.5" hidden="false" customHeight="false" outlineLevel="0" collapsed="false">
      <c r="B10" s="174" t="s">
        <v>187</v>
      </c>
      <c r="C10" s="181" t="n">
        <v>0.8708</v>
      </c>
    </row>
    <row r="11" customFormat="false" ht="13.5" hidden="false" customHeight="false" outlineLevel="0" collapsed="false">
      <c r="B11" s="174" t="s">
        <v>228</v>
      </c>
      <c r="C11" s="181" t="n">
        <v>0.488</v>
      </c>
    </row>
    <row r="12" customFormat="false" ht="13.5" hidden="false" customHeight="false" outlineLevel="0" collapsed="false">
      <c r="B12" s="174" t="s">
        <v>188</v>
      </c>
      <c r="C12" s="181" t="n">
        <v>1.17</v>
      </c>
    </row>
    <row r="13" customFormat="false" ht="13.5" hidden="false" customHeight="false" outlineLevel="0" collapsed="false">
      <c r="B13" s="174" t="s">
        <v>229</v>
      </c>
      <c r="C13" s="181" t="n">
        <v>0.7268</v>
      </c>
    </row>
    <row r="14" customFormat="false" ht="13.5" hidden="false" customHeight="true" outlineLevel="0" collapsed="false">
      <c r="B14" s="178"/>
      <c r="C14" s="178"/>
    </row>
    <row r="15" customFormat="false" ht="13.5" hidden="false" customHeight="false" outlineLevel="0" collapsed="false">
      <c r="B15" s="182" t="s">
        <v>230</v>
      </c>
      <c r="C15" s="183"/>
    </row>
    <row r="16" customFormat="false" ht="15" hidden="false" customHeight="false" outlineLevel="0" collapsed="false">
      <c r="B16" s="184" t="s">
        <v>231</v>
      </c>
      <c r="C16" s="183" t="n">
        <f aca="false">C7*(1+C11)</f>
        <v>3862.848</v>
      </c>
    </row>
    <row r="17" customFormat="false" ht="15" hidden="false" customHeight="false" outlineLevel="0" collapsed="false">
      <c r="B17" s="184" t="s">
        <v>232</v>
      </c>
      <c r="C17" s="183" t="n">
        <f aca="false">C7*(1+C13)</f>
        <v>4482.7728</v>
      </c>
    </row>
    <row r="18" customFormat="false" ht="15" hidden="false" customHeight="false" outlineLevel="0" collapsed="false">
      <c r="B18" s="184" t="s">
        <v>233</v>
      </c>
      <c r="C18" s="185" t="n">
        <f aca="false">C16*(1+C10)/(220*(1+C11))</f>
        <v>22.07544</v>
      </c>
    </row>
    <row r="19" customFormat="false" ht="15" hidden="false" customHeight="false" outlineLevel="0" collapsed="false">
      <c r="B19" s="184" t="s">
        <v>234</v>
      </c>
      <c r="C19" s="185" t="n">
        <f aca="false">(C17*(1+C12)/(220*(1+C13)))</f>
        <v>25.606</v>
      </c>
    </row>
    <row r="21" customFormat="false" ht="13.5" hidden="false" customHeight="false" outlineLevel="0" collapsed="false">
      <c r="B21" s="172" t="s">
        <v>235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186" t="s">
        <v>236</v>
      </c>
      <c r="C23" s="186"/>
    </row>
    <row r="24" customFormat="false" ht="33.75" hidden="false" customHeight="true" outlineLevel="0" collapsed="false">
      <c r="B24" s="186" t="s">
        <v>237</v>
      </c>
      <c r="C24" s="186"/>
    </row>
    <row r="25" customFormat="false" ht="23.25" hidden="false" customHeight="true" outlineLevel="0" collapsed="false">
      <c r="B25" s="186" t="s">
        <v>238</v>
      </c>
      <c r="C25" s="186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691BA2-32F1-43D6-8F7C-2E0A6E2BC2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214D6A-FD6D-40E3-A026-EF6B5C4911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3848D9-0F1B-4DE8-B7E9-4ACF5DFE0461}">
  <ds:schemaRefs>
    <ds:schemaRef ds:uri="http://schemas.microsoft.com/office/2006/metadata/properties"/>
    <ds:schemaRef ds:uri="http://schemas.microsoft.com/office/infopath/2007/PartnerControls"/>
    <ds:schemaRef ds:uri="706c7f7c-e32b-4162-b9b5-46b4313c91a4"/>
    <ds:schemaRef ds:uri="132d983b-bc52-4905-b3a2-4655d790e7be"/>
  </ds:schemaRefs>
</ds:datastoreItem>
</file>

<file path=customXml/itemProps4.xml><?xml version="1.0" encoding="utf-8"?>
<ds:datastoreItem xmlns:ds="http://schemas.openxmlformats.org/officeDocument/2006/customXml" ds:itemID="{77D33F42-6305-4D54-BA7A-1F643B66A46C}"/>
</file>

<file path=customXml/itemProps5.xml><?xml version="1.0" encoding="utf-8"?>
<ds:datastoreItem xmlns:ds="http://schemas.openxmlformats.org/officeDocument/2006/customXml" ds:itemID="{F11A61CE-CF6E-4B62-8411-586AF575EC8F}"/>
</file>

<file path=customXml/itemProps6.xml><?xml version="1.0" encoding="utf-8"?>
<ds:datastoreItem xmlns:ds="http://schemas.openxmlformats.org/officeDocument/2006/customXml" ds:itemID="{DD9F2708-131F-429C-B917-D19368FC138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39</cp:revision>
  <dcterms:created xsi:type="dcterms:W3CDTF">2022-02-01T12:05:24Z</dcterms:created>
  <dcterms:modified xsi:type="dcterms:W3CDTF">2023-12-12T11:08:19Z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